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egulated Tariffs\APCo Formula Rate FRR\2021 Update Filed FERC 2022\No Links\"/>
    </mc:Choice>
  </mc:AlternateContent>
  <xr:revisionPtr revIDLastSave="0" documentId="8_{A44D856B-DA75-40FA-9DD1-C46C5989F905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6" l="1"/>
  <c r="R21" i="16" l="1"/>
  <c r="T21" i="16"/>
  <c r="AB49" i="16" l="1"/>
  <c r="AB48" i="16"/>
  <c r="S21" i="16" l="1"/>
  <c r="D382" i="1"/>
  <c r="D381" i="1"/>
  <c r="D380" i="1"/>
  <c r="D379" i="1"/>
  <c r="D378" i="1"/>
  <c r="N28" i="16" l="1"/>
  <c r="N27" i="16"/>
  <c r="D10" i="26" l="1"/>
  <c r="D8" i="26"/>
  <c r="C235" i="27"/>
  <c r="C197" i="27"/>
  <c r="C153" i="27"/>
  <c r="C105" i="27"/>
  <c r="C55" i="27"/>
  <c r="D58" i="26" l="1"/>
  <c r="H10" i="26"/>
  <c r="H11" i="26" s="1"/>
  <c r="H13" i="26" s="1"/>
  <c r="B33" i="12"/>
  <c r="B30" i="12"/>
  <c r="C19" i="22"/>
  <c r="D19" i="22" s="1"/>
  <c r="C15" i="22"/>
  <c r="D15" i="22" s="1"/>
  <c r="C13" i="22"/>
  <c r="D13" i="22" s="1"/>
  <c r="C9" i="22"/>
  <c r="D9" i="22" s="1"/>
  <c r="H56" i="13"/>
  <c r="H51" i="13"/>
  <c r="G49" i="13"/>
  <c r="I20" i="11"/>
  <c r="K20" i="11" s="1"/>
  <c r="M20" i="11" s="1"/>
  <c r="I15" i="11"/>
  <c r="K15" i="11" s="1"/>
  <c r="I13" i="11"/>
  <c r="K13" i="11" s="1"/>
  <c r="S33" i="11"/>
  <c r="S31" i="11"/>
  <c r="S29" i="11"/>
  <c r="S19" i="11"/>
  <c r="S18" i="11"/>
  <c r="B23" i="12"/>
  <c r="D21" i="17"/>
  <c r="D17" i="17"/>
  <c r="D15" i="17"/>
  <c r="D13" i="4"/>
  <c r="AI22" i="16"/>
  <c r="E12" i="11" s="1"/>
  <c r="AH22" i="16"/>
  <c r="D12" i="11" s="1"/>
  <c r="AG22" i="16"/>
  <c r="C12" i="11" s="1"/>
  <c r="AG13" i="16"/>
  <c r="AI13" i="16" s="1"/>
  <c r="AG11" i="16"/>
  <c r="AC9" i="16"/>
  <c r="N25" i="16"/>
  <c r="N24" i="16"/>
  <c r="L43" i="16" s="1"/>
  <c r="L45" i="16" s="1"/>
  <c r="M12" i="16"/>
  <c r="M11" i="16"/>
  <c r="M10" i="16"/>
  <c r="AB47" i="16"/>
  <c r="D21" i="4"/>
  <c r="AG18" i="16"/>
  <c r="AH18" i="16" s="1"/>
  <c r="AG17" i="16"/>
  <c r="AH17" i="16" s="1"/>
  <c r="S27" i="11"/>
  <c r="S25" i="11"/>
  <c r="S17" i="11"/>
  <c r="S16" i="11"/>
  <c r="S14" i="11"/>
  <c r="S13" i="11"/>
  <c r="F50" i="12"/>
  <c r="C30" i="15" s="1"/>
  <c r="B29" i="12"/>
  <c r="B28" i="12"/>
  <c r="B27" i="12"/>
  <c r="B26" i="12"/>
  <c r="B25" i="12"/>
  <c r="B22" i="12"/>
  <c r="B14" i="12"/>
  <c r="F17" i="14"/>
  <c r="E17" i="14"/>
  <c r="D17" i="14"/>
  <c r="D46" i="4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/>
  <c r="F25" i="26" s="1"/>
  <c r="F28" i="26" s="1"/>
  <c r="E19" i="26"/>
  <c r="E23" i="26" s="1"/>
  <c r="E25" i="26" s="1"/>
  <c r="F69" i="26"/>
  <c r="Y35" i="16"/>
  <c r="C224" i="1"/>
  <c r="C239" i="1"/>
  <c r="C269" i="1"/>
  <c r="A3" i="15"/>
  <c r="AG12" i="16"/>
  <c r="AI12" i="16" s="1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301" i="1" s="1"/>
  <c r="C284" i="1"/>
  <c r="AI19" i="16"/>
  <c r="S15" i="11"/>
  <c r="N26" i="16" l="1"/>
  <c r="N30" i="16" s="1"/>
  <c r="AC13" i="16"/>
  <c r="AC15" i="16" s="1"/>
  <c r="G13" i="16" s="1"/>
  <c r="W26" i="16"/>
  <c r="I9" i="11"/>
  <c r="K9" i="11" s="1"/>
  <c r="D24" i="14" s="1"/>
  <c r="C82" i="1"/>
  <c r="B16" i="12"/>
  <c r="B24" i="12"/>
  <c r="S21" i="11"/>
  <c r="S23" i="11"/>
  <c r="AG47" i="16"/>
  <c r="D42" i="22"/>
  <c r="AI11" i="16"/>
  <c r="C11" i="11"/>
  <c r="B18" i="12"/>
  <c r="E58" i="26"/>
  <c r="I14" i="11"/>
  <c r="F8" i="26"/>
  <c r="F11" i="26" s="1"/>
  <c r="F13" i="26" s="1"/>
  <c r="D13" i="16" l="1"/>
  <c r="M9" i="11"/>
  <c r="F24" i="14" s="1"/>
  <c r="S35" i="11"/>
  <c r="K14" i="11"/>
  <c r="I18" i="11"/>
  <c r="F16" i="26"/>
  <c r="B20" i="12"/>
  <c r="B31" i="12" s="1"/>
  <c r="B35" i="12" s="1"/>
  <c r="E11" i="11"/>
  <c r="AI25" i="16"/>
  <c r="E9" i="11" l="1"/>
  <c r="E14" i="11" s="1"/>
  <c r="AC7" i="16" l="1"/>
  <c r="D9" i="26" l="1"/>
  <c r="G9" i="26" l="1"/>
  <c r="G11" i="26" l="1"/>
  <c r="G13" i="26" s="1"/>
  <c r="G15" i="26"/>
  <c r="E62" i="26" l="1"/>
  <c r="E64" i="26" s="1"/>
  <c r="H25" i="26" l="1"/>
  <c r="H28" i="26" l="1"/>
  <c r="H27" i="26"/>
  <c r="M13" i="16" l="1"/>
  <c r="M19" i="16" s="1"/>
  <c r="D11" i="16" s="1"/>
  <c r="D7" i="26" l="1"/>
  <c r="E7" i="26" l="1"/>
  <c r="E11" i="26" s="1"/>
  <c r="E13" i="26" s="1"/>
  <c r="D11" i="26"/>
  <c r="D13" i="15" l="1"/>
  <c r="D7" i="4" l="1"/>
  <c r="G50" i="13" l="1"/>
  <c r="G51" i="13" s="1"/>
  <c r="F50" i="13"/>
  <c r="F51" i="13" s="1"/>
  <c r="F55" i="13"/>
  <c r="G55" i="13"/>
  <c r="U29" i="11" l="1"/>
  <c r="V29" i="11" s="1"/>
  <c r="D17" i="15" l="1"/>
  <c r="F17" i="15" s="1"/>
  <c r="D15" i="15"/>
  <c r="D19" i="15" l="1"/>
  <c r="D11" i="15" l="1"/>
  <c r="D21" i="15" l="1"/>
  <c r="D17" i="4" l="1"/>
  <c r="D19" i="4" s="1"/>
  <c r="D23" i="4" s="1"/>
  <c r="AG29" i="16" s="1"/>
  <c r="AH29" i="16" s="1"/>
  <c r="B38" i="12" l="1"/>
  <c r="D9" i="4"/>
  <c r="D11" i="4" s="1"/>
  <c r="D15" i="4" s="1"/>
  <c r="C21" i="22" s="1"/>
  <c r="C69" i="1"/>
  <c r="B40" i="12" l="1"/>
  <c r="D12" i="13"/>
  <c r="D16" i="13" s="1"/>
  <c r="D21" i="22"/>
  <c r="C22" i="1"/>
  <c r="G12" i="13" s="1"/>
  <c r="F12" i="13"/>
  <c r="D49" i="13"/>
  <c r="D28" i="17" l="1"/>
  <c r="H19" i="13"/>
  <c r="G19" i="13"/>
  <c r="F19" i="13"/>
  <c r="L13" i="11"/>
  <c r="M13" i="11" l="1"/>
  <c r="D35" i="26" l="1"/>
  <c r="G35" i="26" s="1"/>
  <c r="D33" i="26"/>
  <c r="D34" i="26"/>
  <c r="F34" i="26" s="1"/>
  <c r="F37" i="26" s="1"/>
  <c r="F39" i="26" s="1"/>
  <c r="D36" i="26"/>
  <c r="H36" i="26" s="1"/>
  <c r="H37" i="26" s="1"/>
  <c r="H39" i="26" s="1"/>
  <c r="D47" i="26"/>
  <c r="F47" i="26" s="1"/>
  <c r="F50" i="26" s="1"/>
  <c r="F52" i="26" s="1"/>
  <c r="F55" i="26" s="1"/>
  <c r="D48" i="26"/>
  <c r="G48" i="26" s="1"/>
  <c r="D49" i="26"/>
  <c r="H49" i="26" s="1"/>
  <c r="H50" i="26" s="1"/>
  <c r="H52" i="26" s="1"/>
  <c r="D70" i="26" l="1"/>
  <c r="F42" i="26"/>
  <c r="F68" i="26" s="1"/>
  <c r="D68" i="26"/>
  <c r="D37" i="26"/>
  <c r="E33" i="26"/>
  <c r="E37" i="26" s="1"/>
  <c r="E39" i="26" s="1"/>
  <c r="G41" i="26"/>
  <c r="G37" i="26"/>
  <c r="G39" i="26" s="1"/>
  <c r="G54" i="26"/>
  <c r="G50" i="26"/>
  <c r="G52" i="26" s="1"/>
  <c r="D46" i="26" l="1"/>
  <c r="E46" i="26" s="1"/>
  <c r="E50" i="26" s="1"/>
  <c r="E52" i="26" s="1"/>
  <c r="D60" i="26"/>
  <c r="D50" i="26" l="1"/>
  <c r="D21" i="26"/>
  <c r="C27" i="1"/>
  <c r="D31" i="13" s="1"/>
  <c r="G60" i="26"/>
  <c r="G62" i="26" s="1"/>
  <c r="G64" i="26" s="1"/>
  <c r="D62" i="26"/>
  <c r="G21" i="26" l="1"/>
  <c r="D23" i="26"/>
  <c r="G27" i="26" l="1"/>
  <c r="E69" i="26" s="1"/>
  <c r="G23" i="26"/>
  <c r="G25" i="26" s="1"/>
  <c r="D69" i="26" s="1"/>
  <c r="D71" i="26" s="1"/>
  <c r="F31" i="13" s="1"/>
  <c r="D15" i="14" s="1"/>
  <c r="D16" i="17" l="1"/>
  <c r="D6" i="17" s="1"/>
  <c r="AH19" i="16"/>
  <c r="AH25" i="16" s="1"/>
  <c r="D9" i="11" s="1"/>
  <c r="D14" i="11" s="1"/>
  <c r="D13" i="17" l="1"/>
  <c r="AG19" i="16" l="1"/>
  <c r="AG25" i="16" s="1"/>
  <c r="C9" i="11" l="1"/>
  <c r="C14" i="11" s="1"/>
  <c r="D27" i="13" l="1"/>
  <c r="F25" i="13" l="1"/>
  <c r="G54" i="13" l="1"/>
  <c r="G56" i="13" s="1"/>
  <c r="F56" i="13"/>
  <c r="D54" i="13"/>
  <c r="D25" i="13"/>
  <c r="H25" i="13"/>
  <c r="G25" i="13"/>
  <c r="D14" i="3" l="1"/>
  <c r="I13" i="3"/>
  <c r="F52" i="12"/>
  <c r="AB38" i="16"/>
  <c r="AB52" i="16" s="1"/>
  <c r="C31" i="15" l="1"/>
  <c r="F53" i="12"/>
  <c r="D15" i="16"/>
  <c r="D17" i="16" l="1"/>
  <c r="E15" i="16" s="1"/>
  <c r="H15" i="16" s="1"/>
  <c r="D14" i="12"/>
  <c r="D27" i="12"/>
  <c r="D26" i="12"/>
  <c r="D33" i="12"/>
  <c r="D22" i="12"/>
  <c r="D19" i="12"/>
  <c r="U21" i="11"/>
  <c r="D25" i="12"/>
  <c r="D18" i="12"/>
  <c r="D30" i="12"/>
  <c r="D28" i="12"/>
  <c r="U23" i="11"/>
  <c r="D23" i="12"/>
  <c r="D29" i="14"/>
  <c r="D15" i="12"/>
  <c r="D31" i="15"/>
  <c r="F11" i="15" s="1"/>
  <c r="D29" i="12"/>
  <c r="D38" i="12"/>
  <c r="V28" i="16" l="1"/>
  <c r="W30" i="16" s="1"/>
  <c r="W32" i="16" s="1"/>
  <c r="N33" i="16" s="1"/>
  <c r="N35" i="16" s="1"/>
  <c r="N37" i="16" s="1"/>
  <c r="G11" i="16" s="1"/>
  <c r="H11" i="16" s="1"/>
  <c r="E11" i="16"/>
  <c r="E13" i="16"/>
  <c r="H13" i="16" s="1"/>
  <c r="D20" i="12"/>
  <c r="D24" i="12"/>
  <c r="D16" i="12"/>
  <c r="E33" i="12"/>
  <c r="E17" i="16" l="1"/>
  <c r="H17" i="16"/>
  <c r="D18" i="17"/>
  <c r="E18" i="12"/>
  <c r="E22" i="12"/>
  <c r="E29" i="12"/>
  <c r="E28" i="12"/>
  <c r="E25" i="12"/>
  <c r="E27" i="12"/>
  <c r="E30" i="12"/>
  <c r="E26" i="12"/>
  <c r="E14" i="12"/>
  <c r="C79" i="1"/>
  <c r="H54" i="26"/>
  <c r="H41" i="26"/>
  <c r="H15" i="26"/>
  <c r="D31" i="12"/>
  <c r="E23" i="12"/>
  <c r="E29" i="14"/>
  <c r="E15" i="12"/>
  <c r="E19" i="12"/>
  <c r="E20" i="12" s="1"/>
  <c r="E38" i="12"/>
  <c r="D19" i="17" l="1"/>
  <c r="D8" i="17" s="1"/>
  <c r="K10" i="15" s="1"/>
  <c r="E36" i="14"/>
  <c r="F36" i="14"/>
  <c r="D36" i="14"/>
  <c r="E16" i="12"/>
  <c r="D32" i="12"/>
  <c r="D35" i="12"/>
  <c r="D40" i="12" s="1"/>
  <c r="H16" i="26"/>
  <c r="F70" i="26" s="1"/>
  <c r="F71" i="26" s="1"/>
  <c r="H31" i="13" s="1"/>
  <c r="F15" i="14" s="1"/>
  <c r="H55" i="26"/>
  <c r="H42" i="26"/>
  <c r="F18" i="12"/>
  <c r="F26" i="12"/>
  <c r="F27" i="12"/>
  <c r="F28" i="12"/>
  <c r="F38" i="12"/>
  <c r="F19" i="12"/>
  <c r="F15" i="12"/>
  <c r="F29" i="14"/>
  <c r="F23" i="12"/>
  <c r="F33" i="12"/>
  <c r="F14" i="12"/>
  <c r="F16" i="12" s="1"/>
  <c r="F30" i="12"/>
  <c r="F25" i="12"/>
  <c r="F29" i="12"/>
  <c r="F22" i="12"/>
  <c r="E70" i="26"/>
  <c r="E71" i="26" s="1"/>
  <c r="G31" i="13" s="1"/>
  <c r="E15" i="14" s="1"/>
  <c r="E24" i="12"/>
  <c r="E31" i="12" s="1"/>
  <c r="L10" i="15" l="1"/>
  <c r="M10" i="15"/>
  <c r="E35" i="12"/>
  <c r="E40" i="12" s="1"/>
  <c r="E32" i="12"/>
  <c r="F20" i="12"/>
  <c r="D42" i="12"/>
  <c r="F14" i="13"/>
  <c r="F16" i="13" s="1"/>
  <c r="F24" i="12"/>
  <c r="F31" i="12"/>
  <c r="U33" i="11" l="1"/>
  <c r="C23" i="22"/>
  <c r="F27" i="13"/>
  <c r="F29" i="13" s="1"/>
  <c r="D11" i="14" s="1"/>
  <c r="U31" i="11"/>
  <c r="U25" i="11"/>
  <c r="K16" i="11"/>
  <c r="K18" i="11" s="1"/>
  <c r="D25" i="14" s="1"/>
  <c r="D26" i="14" s="1"/>
  <c r="V21" i="11"/>
  <c r="V23" i="11"/>
  <c r="F32" i="12"/>
  <c r="F35" i="12"/>
  <c r="F40" i="12" s="1"/>
  <c r="F18" i="13"/>
  <c r="F20" i="13" s="1"/>
  <c r="D10" i="14"/>
  <c r="D29" i="17"/>
  <c r="D33" i="17" s="1"/>
  <c r="D22" i="17" s="1"/>
  <c r="D23" i="17" s="1"/>
  <c r="D24" i="17" s="1"/>
  <c r="K14" i="15" s="1"/>
  <c r="E42" i="12"/>
  <c r="G14" i="13"/>
  <c r="G16" i="13" s="1"/>
  <c r="D13" i="14" l="1"/>
  <c r="D19" i="14" s="1"/>
  <c r="D28" i="14"/>
  <c r="D30" i="14" s="1"/>
  <c r="F13" i="15"/>
  <c r="U27" i="11"/>
  <c r="U35" i="11" s="1"/>
  <c r="F15" i="15"/>
  <c r="V33" i="11"/>
  <c r="L16" i="11"/>
  <c r="L18" i="11" s="1"/>
  <c r="E25" i="14" s="1"/>
  <c r="E26" i="14" s="1"/>
  <c r="G27" i="13"/>
  <c r="G29" i="13" s="1"/>
  <c r="E11" i="14" s="1"/>
  <c r="D44" i="22"/>
  <c r="D45" i="22" s="1"/>
  <c r="V25" i="11"/>
  <c r="V31" i="11"/>
  <c r="F42" i="12"/>
  <c r="H14" i="13"/>
  <c r="H16" i="13" s="1"/>
  <c r="C26" i="22"/>
  <c r="D23" i="22"/>
  <c r="D26" i="22" s="1"/>
  <c r="D40" i="4" s="1"/>
  <c r="E23" i="22"/>
  <c r="E26" i="22" s="1"/>
  <c r="D30" i="17"/>
  <c r="D34" i="17" s="1"/>
  <c r="L14" i="15" s="1"/>
  <c r="E10" i="14"/>
  <c r="G17" i="13"/>
  <c r="G18" i="13"/>
  <c r="G20" i="13" s="1"/>
  <c r="W21" i="11"/>
  <c r="W23" i="11"/>
  <c r="AG27" i="16" l="1"/>
  <c r="AG31" i="16" s="1"/>
  <c r="C16" i="11"/>
  <c r="C18" i="11" s="1"/>
  <c r="C20" i="11" s="1"/>
  <c r="D32" i="14" s="1"/>
  <c r="D34" i="14" s="1"/>
  <c r="D38" i="14" s="1"/>
  <c r="K8" i="15" s="1"/>
  <c r="K12" i="15" s="1"/>
  <c r="K16" i="15" s="1"/>
  <c r="E28" i="14"/>
  <c r="E30" i="14" s="1"/>
  <c r="V27" i="11"/>
  <c r="V35" i="11" s="1"/>
  <c r="W31" i="11"/>
  <c r="D47" i="22"/>
  <c r="D48" i="22" s="1"/>
  <c r="D49" i="22" s="1"/>
  <c r="W33" i="11"/>
  <c r="M16" i="11"/>
  <c r="M18" i="11" s="1"/>
  <c r="F25" i="14" s="1"/>
  <c r="F26" i="14" s="1"/>
  <c r="W25" i="11"/>
  <c r="H27" i="13"/>
  <c r="H29" i="13" s="1"/>
  <c r="F11" i="14" s="1"/>
  <c r="F21" i="15"/>
  <c r="D42" i="4" s="1"/>
  <c r="H18" i="13"/>
  <c r="H20" i="13" s="1"/>
  <c r="F10" i="14"/>
  <c r="H17" i="13"/>
  <c r="D31" i="17"/>
  <c r="D35" i="17" s="1"/>
  <c r="M14" i="15" s="1"/>
  <c r="E13" i="14"/>
  <c r="E19" i="14" s="1"/>
  <c r="F28" i="14" l="1"/>
  <c r="F30" i="14" s="1"/>
  <c r="W27" i="11"/>
  <c r="W35" i="11" s="1"/>
  <c r="AH27" i="16"/>
  <c r="AH31" i="16" s="1"/>
  <c r="D38" i="4" s="1"/>
  <c r="D16" i="11"/>
  <c r="D18" i="11" s="1"/>
  <c r="D20" i="11" s="1"/>
  <c r="E32" i="14" s="1"/>
  <c r="E34" i="14" s="1"/>
  <c r="E38" i="14" s="1"/>
  <c r="F13" i="14"/>
  <c r="F19" i="14" s="1"/>
  <c r="L8" i="15" l="1"/>
  <c r="L12" i="15" s="1"/>
  <c r="L16" i="15" s="1"/>
  <c r="D44" i="4" s="1"/>
  <c r="D36" i="4"/>
  <c r="E16" i="11"/>
  <c r="E18" i="11" s="1"/>
  <c r="E20" i="11" s="1"/>
  <c r="F32" i="14" s="1"/>
  <c r="F34" i="14" s="1"/>
  <c r="F38" i="14" s="1"/>
  <c r="M8" i="15" s="1"/>
  <c r="M12" i="15" s="1"/>
  <c r="M16" i="15" s="1"/>
  <c r="AI27" i="16"/>
  <c r="AI31" i="16" s="1"/>
  <c r="D50" i="4" l="1"/>
  <c r="I12" i="3" s="1"/>
  <c r="L12" i="3" s="1"/>
  <c r="C14" i="3" s="1"/>
  <c r="E14" i="3" s="1"/>
</calcChain>
</file>

<file path=xl/sharedStrings.xml><?xml version="1.0" encoding="utf-8"?>
<sst xmlns="http://schemas.openxmlformats.org/spreadsheetml/2006/main" count="2439" uniqueCount="1177">
  <si>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</si>
  <si>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</si>
  <si>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</si>
  <si>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</si>
  <si>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</si>
  <si>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</si>
  <si>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</si>
  <si>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</si>
  <si>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</si>
  <si>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</si>
  <si>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</si>
  <si>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</si>
  <si>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</si>
  <si>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</si>
  <si>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</si>
  <si>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</si>
  <si>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</si>
  <si>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</si>
  <si>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</si>
  <si>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</si>
  <si>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</si>
  <si>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</si>
  <si>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</si>
  <si>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</si>
  <si>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</si>
  <si>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</si>
  <si>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</si>
  <si>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</si>
  <si>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</si>
  <si>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</si>
  <si>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</si>
  <si>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</si>
  <si>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</si>
  <si>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</si>
  <si>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</si>
  <si>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</si>
  <si>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</si>
  <si>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</si>
  <si>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</si>
  <si>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</si>
  <si>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</si>
  <si>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</si>
  <si>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</si>
  <si>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</si>
  <si>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</si>
  <si>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</si>
  <si>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</si>
  <si>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</si>
  <si>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</si>
  <si>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</si>
  <si>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</si>
  <si>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</si>
  <si>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</si>
  <si>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</si>
  <si>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</si>
  <si>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</si>
  <si>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</si>
  <si>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</si>
  <si>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</si>
  <si>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</si>
  <si>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</si>
  <si>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</si>
  <si>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</si>
  <si>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</si>
  <si>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</si>
  <si>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</si>
  <si>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</si>
  <si>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</si>
  <si>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</si>
  <si>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</si>
  <si>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</si>
  <si>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</si>
  <si>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</si>
  <si>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</si>
  <si>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</si>
  <si>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</si>
  <si>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</si>
  <si>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</si>
  <si>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</si>
  <si>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</si>
  <si>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</si>
  <si>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</si>
  <si>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</si>
  <si>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</si>
  <si>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</si>
  <si>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</si>
  <si>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</si>
  <si>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</si>
  <si>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</si>
  <si>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</si>
  <si>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</si>
  <si>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</si>
  <si>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</si>
  <si>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</si>
  <si>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</si>
  <si>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</si>
  <si>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</si>
  <si>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</si>
  <si>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</si>
  <si>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</si>
  <si>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</si>
  <si>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</si>
  <si>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</si>
  <si>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</si>
  <si>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</si>
  <si>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</si>
  <si>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</si>
  <si>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</si>
  <si>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</si>
  <si>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</si>
  <si>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</si>
  <si>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</si>
  <si>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</si>
  <si>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</si>
  <si>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</si>
  <si>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</si>
  <si>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</si>
  <si>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</si>
  <si>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</si>
  <si>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</si>
  <si>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</si>
  <si>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</si>
  <si>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</si>
  <si>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</si>
  <si>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</si>
  <si>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</si>
  <si>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</si>
  <si>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</si>
  <si>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</si>
  <si>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</si>
  <si>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</si>
  <si>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</si>
  <si>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</si>
  <si>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</si>
  <si>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</si>
  <si>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</si>
  <si>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</si>
  <si>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</si>
  <si>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</si>
  <si>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</si>
  <si>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</si>
  <si>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</si>
  <si>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</si>
  <si>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</si>
  <si>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</si>
  <si>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</si>
  <si>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</si>
  <si>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</si>
  <si>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</si>
  <si>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</si>
  <si>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</si>
  <si>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</si>
  <si>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</si>
  <si>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</si>
  <si>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</si>
  <si>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</si>
  <si>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</si>
  <si>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</si>
  <si>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</si>
  <si>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</si>
  <si>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</si>
  <si>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</si>
  <si>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</si>
  <si>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</si>
  <si>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</si>
  <si>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</si>
  <si>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</si>
  <si>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</si>
  <si>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</si>
  <si>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</si>
  <si>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</si>
  <si>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</si>
  <si>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</si>
  <si>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</si>
  <si>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</si>
  <si>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</si>
  <si>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</si>
  <si>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</si>
  <si>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</si>
  <si>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</si>
  <si>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</si>
  <si>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</si>
  <si>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</si>
  <si>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</si>
  <si>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</si>
  <si>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</si>
  <si>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</si>
  <si>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</si>
  <si>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</si>
  <si>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</si>
  <si>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</si>
  <si>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</si>
  <si>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</si>
  <si>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</si>
  <si>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</si>
  <si>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</si>
  <si>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</si>
  <si>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</si>
  <si>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</si>
  <si>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</si>
  <si>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</si>
  <si>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</si>
  <si>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</si>
  <si>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</si>
  <si>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</si>
  <si>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</si>
  <si>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</si>
  <si>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</si>
  <si>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</si>
  <si>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</si>
  <si>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</si>
  <si>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</si>
  <si>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</si>
  <si>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</si>
  <si>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</si>
  <si>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</si>
  <si>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</si>
  <si>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</si>
  <si>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</si>
  <si>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</si>
  <si>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</si>
  <si>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</si>
  <si>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</si>
  <si>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</si>
  <si>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</si>
  <si>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</si>
  <si>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</si>
  <si>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</si>
  <si>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</si>
  <si>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</si>
  <si>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</si>
  <si>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</si>
  <si>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</si>
  <si>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</si>
  <si>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</si>
  <si>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</si>
  <si>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</si>
  <si>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</si>
  <si>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</si>
  <si>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</si>
  <si>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</si>
  <si>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</si>
  <si>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</si>
  <si>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</si>
  <si>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</si>
  <si>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</si>
  <si>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</si>
  <si>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</si>
  <si>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</si>
  <si>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</si>
  <si>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</si>
  <si>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</si>
  <si>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</si>
  <si>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</si>
  <si>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</si>
  <si>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</si>
  <si>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</si>
  <si>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</si>
  <si>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</si>
  <si>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</si>
  <si>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</si>
  <si>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</si>
  <si>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</si>
  <si>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</si>
  <si>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</si>
  <si>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</si>
  <si>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</si>
  <si>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</si>
  <si>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</si>
  <si>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</si>
  <si>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</si>
  <si>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</si>
  <si>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</si>
  <si>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</si>
  <si>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</si>
  <si>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</si>
  <si>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</si>
  <si>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</si>
  <si>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</si>
  <si>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</si>
  <si>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</si>
  <si>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</si>
  <si>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</si>
  <si>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</si>
  <si>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</si>
  <si>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</si>
  <si>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</si>
  <si>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</si>
  <si>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</si>
  <si>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</si>
  <si>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</si>
  <si>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</si>
  <si>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</si>
  <si>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</si>
  <si>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</si>
  <si>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</si>
  <si>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</si>
  <si>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</si>
  <si>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</si>
  <si>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</si>
  <si>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</si>
  <si>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</si>
  <si>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</si>
  <si>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</si>
  <si>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</si>
  <si>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</si>
  <si>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</si>
  <si>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</si>
  <si>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</si>
  <si>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</si>
  <si>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</si>
  <si>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</si>
  <si>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</si>
  <si>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</si>
  <si>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</si>
  <si>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</si>
  <si>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</si>
  <si>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</si>
  <si>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</si>
  <si>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</si>
  <si>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</si>
  <si>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</si>
  <si>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</si>
  <si>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</si>
  <si>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</si>
  <si>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</si>
  <si>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</si>
  <si>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</si>
  <si>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</si>
  <si>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</si>
  <si>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</si>
  <si>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</si>
  <si>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</si>
  <si>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</si>
  <si>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</si>
  <si>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</si>
  <si>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</si>
  <si>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</si>
  <si>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</si>
  <si>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</si>
  <si>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</si>
  <si>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</si>
  <si>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</si>
  <si>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</si>
  <si>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</si>
  <si>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</si>
  <si>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</si>
  <si>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</si>
  <si>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</si>
  <si>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</si>
  <si>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</si>
  <si>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</si>
  <si>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</si>
  <si>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</si>
  <si>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</si>
  <si>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</si>
  <si>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</si>
  <si>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</si>
  <si>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</si>
  <si>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</si>
  <si>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</si>
  <si>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</si>
  <si>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</si>
  <si>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</si>
  <si>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</si>
  <si>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</si>
  <si>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</si>
  <si>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</si>
  <si>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</si>
  <si>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</si>
  <si>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</si>
  <si>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</si>
  <si>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</si>
  <si>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</si>
  <si>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</si>
  <si>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</si>
  <si>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</si>
  <si>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</si>
  <si>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</si>
  <si>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</si>
  <si>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</si>
  <si>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</si>
  <si>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</si>
  <si>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</si>
  <si>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</si>
  <si>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</si>
  <si>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</si>
  <si>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</si>
  <si>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</si>
  <si>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</si>
  <si>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</si>
  <si>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</si>
  <si>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</si>
  <si>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</si>
  <si>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</si>
  <si>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</si>
  <si>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</si>
  <si>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</si>
  <si>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</si>
  <si>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</si>
  <si>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</si>
  <si>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</si>
  <si>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</si>
  <si>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</si>
  <si>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</si>
  <si>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</si>
  <si>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</si>
  <si>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</si>
  <si>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</si>
  <si>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</si>
  <si>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</si>
  <si>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</si>
  <si>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</si>
  <si>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</si>
  <si>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</si>
  <si>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</si>
  <si>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</si>
  <si>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</si>
  <si>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</si>
  <si>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</si>
  <si>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</si>
  <si>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</si>
  <si>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</si>
  <si>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</si>
  <si>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</si>
  <si>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</si>
  <si>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</si>
  <si>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</si>
  <si>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</si>
  <si>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</si>
  <si>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</si>
  <si>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</si>
  <si>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</si>
  <si>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</si>
  <si>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</si>
  <si>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</si>
  <si>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</si>
  <si>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</si>
  <si>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</si>
  <si>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</si>
  <si>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</si>
  <si>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</si>
  <si>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</si>
  <si>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</si>
  <si>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</si>
  <si>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</si>
  <si>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</si>
  <si>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</si>
  <si>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</si>
  <si>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</si>
  <si>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</si>
  <si>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</si>
  <si>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</si>
  <si>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</si>
  <si>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</si>
  <si>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</si>
  <si>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</si>
  <si>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</si>
  <si>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</si>
  <si>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</si>
  <si>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</si>
  <si>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</si>
  <si>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</si>
  <si>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</si>
  <si>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</si>
  <si>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</si>
  <si>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</si>
  <si>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</si>
  <si>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</si>
  <si>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</si>
  <si>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</si>
  <si>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</si>
  <si>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</si>
  <si>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</si>
  <si>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</si>
  <si>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</si>
  <si>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</si>
  <si>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</si>
  <si>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</si>
  <si>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</si>
  <si>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</si>
  <si>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</si>
  <si>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</si>
  <si>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</si>
  <si>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</si>
  <si>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</si>
  <si>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</si>
  <si>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</si>
  <si>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</si>
  <si>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</si>
  <si>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</si>
  <si>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</si>
  <si>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</si>
  <si>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</si>
  <si>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</si>
  <si>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</si>
  <si>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</si>
  <si>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</si>
  <si>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</si>
  <si>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</si>
  <si>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</si>
  <si>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</si>
  <si>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</si>
  <si>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</si>
  <si>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</si>
  <si>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</si>
  <si>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</si>
  <si>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</si>
  <si>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</si>
  <si>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</si>
  <si>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</si>
  <si>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</si>
  <si>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</si>
  <si>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</si>
  <si>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</si>
  <si>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</si>
  <si>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</si>
  <si>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</si>
  <si>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</si>
  <si>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</si>
  <si>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</si>
  <si>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</si>
  <si>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</si>
  <si>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</si>
  <si>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</si>
  <si>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</si>
  <si>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</si>
  <si>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</si>
  <si>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</si>
  <si>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</si>
  <si>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</si>
  <si>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</si>
  <si>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</si>
  <si>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</si>
  <si>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</si>
  <si>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</si>
  <si>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</si>
  <si>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</si>
  <si>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</si>
  <si>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</si>
  <si>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</si>
  <si>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</si>
  <si>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</si>
  <si>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</si>
  <si>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</si>
  <si>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</si>
  <si>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</si>
  <si>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</si>
  <si>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</si>
  <si>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</si>
  <si>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</si>
  <si>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</si>
  <si>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</si>
  <si>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</si>
  <si>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</si>
  <si>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</si>
  <si>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</si>
  <si>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</si>
  <si>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</si>
  <si>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</si>
  <si>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</si>
  <si>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</si>
  <si>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</si>
  <si>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</si>
  <si>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</si>
  <si>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</si>
  <si>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</si>
  <si>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</si>
  <si>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</si>
  <si>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</si>
  <si>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</si>
  <si>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</si>
  <si>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</si>
  <si>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</si>
  <si>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</si>
  <si>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</si>
  <si>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</si>
  <si>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</si>
  <si>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</si>
  <si>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</si>
  <si>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</si>
  <si>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</si>
  <si>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</si>
  <si>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</si>
  <si>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</si>
  <si>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</si>
  <si>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</si>
  <si>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</si>
  <si>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</si>
  <si>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</si>
  <si>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</si>
  <si>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</si>
  <si>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</si>
  <si>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</si>
  <si>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</si>
  <si>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</si>
  <si>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</si>
  <si>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</si>
  <si>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</si>
  <si>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</si>
  <si>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</si>
  <si>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</si>
  <si>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</si>
  <si>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</si>
  <si>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</si>
  <si>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</si>
  <si>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</si>
  <si>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</si>
  <si>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</si>
  <si>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</si>
  <si>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</si>
  <si>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</si>
  <si>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</si>
  <si>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</si>
  <si>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</si>
  <si>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</si>
  <si>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</si>
  <si>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</si>
  <si>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</si>
  <si>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</si>
  <si>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</si>
  <si>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</si>
  <si>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</si>
  <si>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</si>
  <si>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</si>
  <si>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</si>
  <si>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</si>
  <si>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</si>
  <si>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</si>
  <si>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</si>
  <si>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</si>
  <si>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</si>
  <si>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</si>
  <si>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</si>
  <si>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</si>
  <si>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</si>
  <si>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</si>
  <si>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</si>
  <si>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</si>
  <si>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</si>
  <si>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</si>
  <si>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</si>
  <si>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</si>
  <si>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</si>
  <si>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</si>
  <si>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</si>
  <si>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</si>
  <si>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</si>
  <si>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</si>
  <si>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</si>
  <si>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</si>
  <si>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</si>
  <si>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</si>
  <si>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</si>
  <si>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</si>
  <si>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</si>
  <si>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</si>
  <si>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</si>
  <si>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</si>
  <si>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</si>
  <si>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</si>
  <si>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</si>
  <si>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</si>
  <si>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</si>
  <si>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</si>
  <si>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</si>
  <si>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</si>
  <si>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</si>
  <si>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</si>
  <si>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</si>
  <si>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</si>
  <si>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</si>
  <si>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</si>
  <si>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</si>
  <si>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</si>
  <si>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</si>
  <si>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</si>
  <si>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</si>
  <si>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</si>
  <si>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</si>
  <si>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</si>
  <si>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</si>
  <si>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</si>
  <si>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</si>
  <si>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</si>
  <si>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</si>
  <si>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</si>
  <si>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</si>
  <si>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</si>
  <si>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</si>
  <si>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</si>
  <si>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</si>
  <si>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</si>
  <si>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</si>
  <si>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</si>
  <si>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</si>
  <si>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</si>
  <si>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</si>
  <si>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</si>
  <si>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</si>
  <si>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</si>
  <si>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</si>
  <si>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</si>
  <si>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</si>
  <si>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</si>
  <si>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</si>
  <si>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</si>
  <si>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</si>
  <si>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</si>
  <si>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</si>
  <si>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</si>
  <si>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</si>
  <si>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</si>
  <si>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</si>
  <si>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</si>
  <si>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</si>
  <si>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</si>
  <si>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</si>
  <si>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</si>
  <si>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</si>
  <si>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</si>
  <si>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</si>
  <si>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</si>
  <si>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</si>
  <si>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</si>
  <si>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</si>
  <si>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</si>
  <si>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</si>
  <si>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</si>
  <si>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</si>
  <si>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</si>
  <si>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</si>
  <si>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</si>
  <si>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</si>
  <si>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</si>
  <si>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</si>
  <si>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</si>
  <si>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</si>
  <si>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</si>
  <si>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</si>
  <si>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</si>
  <si>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</si>
  <si>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</si>
  <si>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</si>
  <si>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</si>
  <si>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</si>
  <si>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</si>
  <si>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</si>
  <si>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</si>
  <si>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</si>
  <si>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</si>
  <si>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</si>
  <si>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</si>
  <si>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</si>
  <si>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</si>
  <si>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</si>
  <si>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</si>
  <si>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</si>
  <si>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</si>
  <si>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</si>
  <si>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</si>
  <si>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</si>
  <si>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</si>
  <si>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</si>
  <si>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</si>
  <si>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</si>
  <si>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</si>
  <si>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</si>
  <si>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</si>
  <si>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</si>
  <si>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</si>
  <si>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</si>
  <si>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</si>
  <si>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</si>
  <si>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</si>
  <si>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</si>
  <si>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</si>
  <si>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</si>
  <si>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</si>
  <si>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</si>
  <si>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</si>
  <si>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</si>
  <si>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</si>
  <si>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</si>
  <si>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</si>
  <si>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</si>
  <si>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</si>
  <si>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</si>
  <si>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</si>
  <si>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</si>
  <si>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</si>
  <si>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</si>
  <si>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</si>
  <si>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</si>
  <si>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</si>
  <si>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</si>
  <si>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</si>
  <si>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</si>
  <si>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</si>
  <si>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</si>
  <si>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</si>
  <si>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</si>
  <si>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</si>
  <si>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</si>
  <si>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</si>
  <si>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</si>
  <si>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</si>
  <si>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</si>
  <si>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</si>
  <si>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</si>
  <si>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</si>
  <si>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</si>
  <si>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</si>
  <si>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</si>
  <si>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Appalachian Power Company</t>
  </si>
  <si>
    <t xml:space="preserve">   Acct 255</t>
  </si>
  <si>
    <t>Other Tangible Property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</si>
  <si>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</si>
  <si>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</si>
  <si>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</si>
  <si>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</si>
  <si>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</si>
  <si>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</si>
  <si>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</si>
  <si>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</si>
  <si>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</si>
  <si>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</si>
  <si>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</si>
  <si>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</si>
  <si>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</si>
  <si>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</si>
  <si>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</si>
  <si>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</si>
  <si>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</si>
  <si>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</si>
  <si>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</si>
  <si>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</si>
  <si>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</si>
  <si>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</si>
  <si>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</si>
  <si>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</si>
  <si>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</si>
  <si>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</si>
  <si>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</si>
  <si>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</si>
  <si>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</si>
  <si>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</si>
  <si>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</si>
  <si>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</si>
  <si>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</si>
  <si>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</si>
  <si>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</si>
  <si>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</si>
  <si>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</si>
  <si>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</si>
  <si>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</si>
  <si>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</si>
  <si>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</si>
  <si>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</si>
  <si>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</si>
  <si>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</si>
  <si>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</si>
  <si>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</si>
  <si>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</si>
  <si>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</si>
  <si>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</si>
  <si>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</si>
  <si>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</si>
  <si>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</si>
  <si>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</si>
  <si>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</si>
  <si>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</si>
  <si>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</si>
  <si>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</si>
  <si>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</si>
  <si>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</si>
  <si>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</si>
  <si>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</si>
  <si>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</si>
  <si>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</si>
  <si>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</si>
  <si>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</si>
  <si>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</si>
  <si>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</si>
  <si>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</si>
  <si>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</si>
  <si>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</si>
  <si>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</si>
  <si>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</si>
  <si>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</si>
  <si>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</si>
  <si>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</si>
  <si>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</si>
  <si>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</si>
  <si>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</si>
  <si>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</si>
  <si>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</si>
  <si>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</si>
  <si>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</si>
  <si>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</si>
  <si>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</si>
  <si>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</si>
  <si>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</si>
  <si>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</si>
  <si>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</si>
  <si>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</si>
  <si>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</si>
  <si>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</si>
  <si>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</si>
  <si>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</si>
  <si>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</si>
  <si>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</si>
  <si>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</si>
  <si>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</si>
  <si>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</si>
  <si>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</si>
  <si>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</si>
  <si>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</si>
  <si>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</si>
  <si>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</si>
  <si>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</si>
  <si>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</si>
  <si>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</si>
  <si>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</si>
  <si>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</si>
  <si>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</si>
  <si>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</si>
  <si>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</si>
  <si>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</si>
  <si>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</si>
  <si>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</si>
  <si>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</si>
  <si>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</si>
  <si>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</si>
  <si>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</si>
  <si>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</si>
  <si>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</si>
  <si>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</si>
  <si>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</si>
  <si>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</si>
  <si>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</si>
  <si>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</si>
  <si>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</si>
  <si>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</si>
  <si>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</si>
  <si>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</si>
  <si>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</si>
  <si>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</si>
  <si>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</si>
  <si>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</si>
  <si>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</si>
  <si>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</si>
  <si>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</si>
  <si>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</si>
  <si>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</si>
  <si>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</si>
  <si>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</si>
  <si>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</si>
  <si>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</si>
  <si>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</si>
  <si>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</si>
  <si>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</si>
  <si>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</si>
  <si>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</si>
  <si>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</si>
  <si>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</si>
  <si>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</si>
  <si>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</si>
  <si>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</si>
  <si>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</si>
  <si>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</si>
  <si>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</si>
  <si>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</si>
  <si>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</si>
  <si>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</si>
  <si>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</si>
  <si>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</si>
  <si>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</si>
  <si>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</si>
  <si>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</si>
  <si>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</si>
  <si>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</si>
  <si>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</si>
  <si>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</si>
  <si>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</si>
  <si>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</si>
  <si>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</si>
  <si>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</si>
  <si>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</si>
  <si>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</si>
  <si>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</si>
  <si>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</si>
  <si>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</si>
  <si>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</si>
  <si>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</si>
  <si>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</si>
  <si>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</si>
  <si>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</si>
  <si>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</si>
  <si>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</si>
  <si>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</si>
  <si>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</si>
  <si>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</si>
  <si>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</si>
  <si>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</si>
  <si>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</si>
  <si>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</si>
  <si>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</si>
  <si>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</si>
  <si>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</si>
  <si>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</si>
  <si>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</si>
  <si>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</si>
  <si>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</si>
  <si>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</si>
  <si>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</si>
  <si>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</si>
  <si>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</si>
  <si>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</si>
  <si>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</si>
  <si>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</si>
  <si>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</si>
  <si>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</si>
  <si>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</si>
  <si>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</si>
  <si>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</si>
  <si>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</si>
  <si>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</si>
  <si>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</si>
  <si>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</si>
  <si>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</si>
  <si>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</si>
  <si>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</si>
  <si>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</si>
  <si>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</si>
  <si>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</si>
  <si>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</si>
  <si>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</si>
  <si>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</si>
  <si>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</si>
  <si>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</si>
  <si>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</si>
  <si>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</si>
  <si>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</si>
  <si>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</si>
  <si>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</si>
  <si>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</si>
  <si>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</si>
  <si>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</si>
  <si>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</si>
  <si>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</si>
  <si>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</si>
  <si>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</si>
  <si>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</si>
  <si>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</si>
  <si>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</si>
  <si>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</si>
  <si>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</si>
  <si>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</si>
  <si>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</si>
  <si>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</si>
  <si>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</si>
  <si>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</si>
  <si>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</si>
  <si>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</si>
  <si>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</si>
  <si>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</si>
  <si>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</si>
  <si>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</si>
  <si>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</si>
  <si>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</si>
  <si>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</si>
  <si>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</si>
  <si>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</si>
  <si>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</si>
  <si>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</si>
  <si>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</si>
  <si>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</si>
  <si>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</si>
  <si>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</si>
  <si>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</si>
  <si>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</si>
  <si>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</si>
  <si>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</si>
  <si>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</si>
  <si>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</si>
  <si>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</si>
  <si>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</si>
  <si>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</si>
  <si>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</si>
  <si>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</si>
  <si>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</si>
  <si>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</si>
  <si>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</si>
  <si>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</si>
  <si>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</si>
  <si>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</si>
  <si>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</si>
  <si>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</si>
  <si>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</si>
  <si>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</si>
  <si>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D168</t>
  </si>
  <si>
    <t>D173</t>
  </si>
  <si>
    <t>D175</t>
  </si>
  <si>
    <t>D176</t>
  </si>
  <si>
    <t>D165</t>
  </si>
  <si>
    <t>D167</t>
  </si>
  <si>
    <t>D174</t>
  </si>
  <si>
    <t>D179</t>
  </si>
  <si>
    <t>M11</t>
  </si>
  <si>
    <t>J11</t>
  </si>
  <si>
    <t>sum(D78+D91)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</si>
  <si>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</si>
  <si>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</si>
  <si>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</si>
  <si>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</si>
  <si>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</si>
  <si>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</si>
  <si>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</si>
  <si>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</si>
  <si>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</si>
  <si>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</si>
  <si>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</si>
  <si>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</si>
  <si>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</si>
  <si>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</si>
  <si>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</si>
  <si>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</si>
  <si>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</si>
  <si>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</si>
  <si>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</si>
  <si>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</si>
  <si>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</si>
  <si>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</si>
  <si>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G32</t>
  </si>
  <si>
    <t>F16</t>
  </si>
  <si>
    <t>D16</t>
  </si>
  <si>
    <t>C16</t>
  </si>
  <si>
    <t>D15</t>
  </si>
  <si>
    <t>Senior Unsecured Notes - Series I</t>
  </si>
  <si>
    <t>Senior Unsecured Notes - Series K</t>
  </si>
  <si>
    <t>Senior Unsecured Notes - Series L</t>
  </si>
  <si>
    <t>F51</t>
  </si>
  <si>
    <t>D53</t>
  </si>
  <si>
    <t>L12</t>
  </si>
  <si>
    <t>L11</t>
  </si>
  <si>
    <t>L10</t>
  </si>
  <si>
    <t>E46</t>
  </si>
  <si>
    <t>F129</t>
  </si>
  <si>
    <t>F21</t>
  </si>
  <si>
    <t>F91</t>
  </si>
  <si>
    <t>F88</t>
  </si>
  <si>
    <t>12 Months Ending 12/31/2020 (actuals)</t>
  </si>
  <si>
    <t>F132</t>
  </si>
  <si>
    <t>F131</t>
  </si>
  <si>
    <t>F128</t>
  </si>
  <si>
    <t>F92</t>
  </si>
  <si>
    <t>F89</t>
  </si>
  <si>
    <t>F230</t>
  </si>
  <si>
    <t>F227</t>
  </si>
  <si>
    <t>F229</t>
  </si>
  <si>
    <t>F226</t>
  </si>
  <si>
    <t>G244+H244</t>
  </si>
  <si>
    <t>F244</t>
  </si>
  <si>
    <t>COMPLETED - JPB</t>
  </si>
  <si>
    <t>** FERC References are based on the 2021 FERC Form 1 **</t>
  </si>
  <si>
    <t>12 Months Ending 12/31/2021 (actuals) for 2022</t>
  </si>
  <si>
    <t>December, 2021</t>
  </si>
  <si>
    <t>Senior Unsecured Notes - Series AA</t>
  </si>
  <si>
    <t>12 Months Ending 12/31/2010 (actuals)</t>
  </si>
  <si>
    <t>D169</t>
  </si>
  <si>
    <t>sum(D177:D179)</t>
  </si>
  <si>
    <t>D177</t>
  </si>
  <si>
    <t>D180</t>
  </si>
  <si>
    <t>D184</t>
  </si>
  <si>
    <t>D57</t>
  </si>
  <si>
    <t>D56+D74+D78+D101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</si>
</sst>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43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6" fillId="8" borderId="0" xfId="0" applyFont="1" applyFill="1" applyProtection="1">
      <protection locked="0"/>
    </xf>
    <xf numFmtId="37" fontId="4" fillId="8" borderId="0" xfId="0" applyFont="1" applyFill="1"/>
    <xf numFmtId="37" fontId="4" fillId="8" borderId="0" xfId="0" quotePrefix="1" applyFont="1" applyFill="1" applyAlignment="1">
      <alignment horizontal="center"/>
    </xf>
    <xf numFmtId="37" fontId="4" fillId="8" borderId="0" xfId="0" applyFont="1" applyFill="1" applyAlignment="1">
      <alignment horizontal="center"/>
    </xf>
    <xf numFmtId="37" fontId="4" fillId="0" borderId="6" xfId="0" applyFont="1" applyFill="1" applyBorder="1" applyProtection="1"/>
    <xf numFmtId="37" fontId="7" fillId="0" borderId="6" xfId="0" applyFont="1" applyFill="1" applyBorder="1" applyAlignment="1" applyProtection="1">
      <alignment horizontal="left"/>
    </xf>
    <xf numFmtId="37" fontId="4" fillId="8" borderId="0" xfId="0" applyFont="1" applyFill="1" applyAlignment="1" applyProtection="1">
      <alignment horizontal="center"/>
    </xf>
    <xf numFmtId="183" fontId="31" fillId="3" borderId="0" xfId="2" applyNumberFormat="1" applyFont="1" applyFill="1"/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 xr:uid="{00000000-0005-0000-0000-000001000000}"/>
    <cellStyle name="Currency 2" xfId="8" xr:uid="{00000000-0005-0000-0000-000002000000}"/>
    <cellStyle name="Normal" xfId="0" builtinId="0"/>
    <cellStyle name="Normal 2" xfId="9" xr:uid="{00000000-0005-0000-0000-000004000000}"/>
    <cellStyle name="Normal 3" xfId="10" xr:uid="{00000000-0005-0000-0000-000005000000}"/>
    <cellStyle name="Normal 36" xfId="11" xr:uid="{00000000-0005-0000-0000-000006000000}"/>
    <cellStyle name="Normal 4" xfId="12" xr:uid="{00000000-0005-0000-0000-000007000000}"/>
    <cellStyle name="Normal 5" xfId="7" xr:uid="{00000000-0005-0000-0000-000008000000}"/>
    <cellStyle name="Normal_ADITAnalysisID090805" xfId="2" xr:uid="{00000000-0005-0000-0000-000009000000}"/>
    <cellStyle name="Normal_EFFTAXRT" xfId="3" xr:uid="{00000000-0005-0000-0000-00000A000000}"/>
    <cellStyle name="Normal_FN1 Ratebase Draft SPP template (6-11-04) v2" xfId="4" xr:uid="{00000000-0005-0000-0000-00000B000000}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04"/>
  <sheetViews>
    <sheetView tabSelected="1" view="pageBreakPreview" zoomScaleNormal="100" zoomScaleSheetLayoutView="100" workbookViewId="0"/>
  </sheetViews>
  <sheetFormatPr defaultColWidth="9" defaultRowHeight="12"/>
  <cols>
    <col min="1" max="1" width="12.625" style="3" customWidth="1"/>
    <col min="2" max="2" width="43.875" style="3" customWidth="1"/>
    <col min="3" max="3" width="14.625" style="3" customWidth="1"/>
    <col min="4" max="4" width="15.625" style="3" customWidth="1"/>
    <col min="5" max="5" width="30.625" style="3" customWidth="1"/>
    <col min="6" max="6" width="28.625" style="3" customWidth="1"/>
    <col min="7" max="7" width="3.625" style="3" customWidth="1"/>
    <col min="8" max="9" width="8.6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1165</v>
      </c>
    </row>
    <row r="2" spans="1:12">
      <c r="B2" s="140" t="s">
        <v>1166</v>
      </c>
      <c r="D2" s="44"/>
      <c r="E2" s="148"/>
      <c r="F2" s="44"/>
    </row>
    <row r="3" spans="1:12">
      <c r="B3" s="199"/>
      <c r="C3" s="185" t="s">
        <v>814</v>
      </c>
      <c r="E3" s="330" t="s">
        <v>455</v>
      </c>
      <c r="F3" s="331"/>
      <c r="H3" s="230" t="s">
        <v>1164</v>
      </c>
      <c r="I3" s="230"/>
      <c r="J3" s="230"/>
      <c r="K3" s="230"/>
      <c r="L3" s="230"/>
    </row>
    <row r="4" spans="1:12" ht="12.75">
      <c r="C4" s="5" t="s">
        <v>204</v>
      </c>
      <c r="E4" s="328" t="s">
        <v>272</v>
      </c>
      <c r="F4" s="329"/>
      <c r="H4" s="230" t="s">
        <v>1126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/>
    </row>
    <row r="8" spans="1:12">
      <c r="A8" s="4" t="s">
        <v>460</v>
      </c>
      <c r="B8" s="4" t="s">
        <v>413</v>
      </c>
      <c r="C8" s="319">
        <v>4885.7</v>
      </c>
      <c r="D8" s="1"/>
      <c r="E8" s="19" t="s">
        <v>433</v>
      </c>
      <c r="F8" s="25" t="s">
        <v>1138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4073006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1117</v>
      </c>
      <c r="H11" s="71"/>
    </row>
    <row r="12" spans="1:12">
      <c r="A12" s="2" t="s">
        <v>462</v>
      </c>
      <c r="B12" s="9" t="s">
        <v>782</v>
      </c>
      <c r="C12" s="10">
        <v>22144230.052500002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401556.66000000003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401556.66000000003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837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7799235.8280000007</v>
      </c>
      <c r="D18" s="1"/>
      <c r="E18" s="25" t="s">
        <v>663</v>
      </c>
      <c r="F18" s="19" t="s">
        <v>1124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1125</v>
      </c>
      <c r="H19" s="71"/>
    </row>
    <row r="20" spans="1:9">
      <c r="A20" s="2" t="s">
        <v>464</v>
      </c>
      <c r="B20" s="2" t="s">
        <v>295</v>
      </c>
      <c r="C20" s="149">
        <v>16194335798</v>
      </c>
      <c r="D20" s="1"/>
      <c r="E20" s="25" t="s">
        <v>441</v>
      </c>
      <c r="F20" s="19" t="s">
        <v>943</v>
      </c>
      <c r="H20" s="71"/>
      <c r="I20" s="77"/>
    </row>
    <row r="21" spans="1:9">
      <c r="A21" s="12"/>
      <c r="B21" s="2" t="s">
        <v>296</v>
      </c>
      <c r="C21" s="11">
        <v>6541041200</v>
      </c>
      <c r="D21" s="1"/>
      <c r="E21" s="25" t="s">
        <v>441</v>
      </c>
      <c r="F21" s="19" t="s">
        <v>944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6541041200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5581644766.0199995</v>
      </c>
      <c r="D24" s="1"/>
      <c r="E24" s="25" t="s">
        <v>487</v>
      </c>
      <c r="F24" s="19" t="s">
        <v>1135</v>
      </c>
      <c r="H24" s="71"/>
      <c r="I24" s="77"/>
    </row>
    <row r="25" spans="1:9">
      <c r="A25" s="12"/>
      <c r="B25" s="2" t="s">
        <v>300</v>
      </c>
      <c r="C25" s="11">
        <v>3063219659.9200001</v>
      </c>
      <c r="D25" s="1"/>
      <c r="E25" s="25" t="s">
        <v>487</v>
      </c>
      <c r="F25" s="19" t="s">
        <v>1136</v>
      </c>
      <c r="H25" s="71"/>
      <c r="I25" s="77"/>
    </row>
    <row r="26" spans="1:9">
      <c r="A26" s="12"/>
      <c r="B26" s="2" t="s">
        <v>529</v>
      </c>
      <c r="C26" s="11">
        <v>97452517.049999997</v>
      </c>
      <c r="D26" s="1"/>
      <c r="E26" s="25" t="s">
        <v>487</v>
      </c>
      <c r="F26" s="19" t="s">
        <v>1137</v>
      </c>
      <c r="H26" s="71"/>
      <c r="I26" s="77"/>
    </row>
    <row r="27" spans="1:9">
      <c r="A27" s="12"/>
      <c r="B27" s="2" t="s">
        <v>301</v>
      </c>
      <c r="C27" s="13">
        <f>-SUM(C29:C32) +SUM(C33:C52)</f>
        <v>178868763.13963819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320">
        <v>6041283.669999999</v>
      </c>
      <c r="D29" s="1"/>
      <c r="E29" s="19" t="s">
        <v>698</v>
      </c>
      <c r="F29" s="19" t="s">
        <v>1153</v>
      </c>
      <c r="H29" s="71"/>
      <c r="I29" s="77"/>
    </row>
    <row r="30" spans="1:9">
      <c r="A30" s="12"/>
      <c r="B30" s="4" t="s">
        <v>685</v>
      </c>
      <c r="C30" s="320">
        <v>84730440.86999999</v>
      </c>
      <c r="D30" s="1"/>
      <c r="E30" s="19" t="s">
        <v>698</v>
      </c>
      <c r="F30" s="19" t="s">
        <v>1148</v>
      </c>
      <c r="H30" s="71"/>
      <c r="I30" s="77"/>
    </row>
    <row r="31" spans="1:9">
      <c r="A31" s="12"/>
      <c r="B31" s="4" t="s">
        <v>703</v>
      </c>
      <c r="C31" s="320">
        <v>-4777012.2800000012</v>
      </c>
      <c r="D31" s="1"/>
      <c r="E31" s="19" t="s">
        <v>698</v>
      </c>
      <c r="F31" s="19" t="s">
        <v>1154</v>
      </c>
      <c r="H31" s="71"/>
      <c r="I31" s="77"/>
    </row>
    <row r="32" spans="1:9">
      <c r="A32" s="12"/>
      <c r="B32" s="4" t="s">
        <v>686</v>
      </c>
      <c r="C32" s="320">
        <v>136941563.43036175</v>
      </c>
      <c r="D32" s="1"/>
      <c r="E32" s="19" t="s">
        <v>698</v>
      </c>
      <c r="F32" s="19" t="s">
        <v>1155</v>
      </c>
      <c r="H32" s="71" t="s">
        <v>272</v>
      </c>
      <c r="I32" s="77"/>
    </row>
    <row r="33" spans="1:9">
      <c r="A33" s="12"/>
      <c r="B33" s="4" t="s">
        <v>712</v>
      </c>
      <c r="C33" s="320"/>
      <c r="D33" s="1"/>
      <c r="E33" s="19"/>
      <c r="F33" s="25"/>
      <c r="H33" s="71"/>
      <c r="I33" s="77"/>
    </row>
    <row r="34" spans="1:9">
      <c r="A34" s="12"/>
      <c r="B34" s="4" t="s">
        <v>684</v>
      </c>
      <c r="C34" s="320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320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320">
        <v>235940636.36000001</v>
      </c>
      <c r="D36" s="1"/>
      <c r="E36" s="19" t="s">
        <v>680</v>
      </c>
      <c r="F36" s="19" t="s">
        <v>1149</v>
      </c>
      <c r="H36" s="71"/>
      <c r="I36" s="77"/>
    </row>
    <row r="37" spans="1:9">
      <c r="A37" s="12"/>
      <c r="B37" s="4" t="s">
        <v>686</v>
      </c>
      <c r="C37" s="320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326"/>
      <c r="D38" s="1"/>
      <c r="E38" s="1"/>
      <c r="F38" s="1"/>
      <c r="H38" s="1"/>
      <c r="I38" s="77"/>
    </row>
    <row r="39" spans="1:9">
      <c r="A39" s="12"/>
      <c r="B39" s="4" t="s">
        <v>684</v>
      </c>
      <c r="C39" s="320">
        <v>11862309.35</v>
      </c>
      <c r="D39" s="1"/>
      <c r="E39" s="19" t="s">
        <v>680</v>
      </c>
      <c r="F39" s="19" t="s">
        <v>1156</v>
      </c>
      <c r="H39" s="71"/>
      <c r="I39" s="77"/>
    </row>
    <row r="40" spans="1:9">
      <c r="A40" s="12"/>
      <c r="B40" s="4" t="s">
        <v>685</v>
      </c>
      <c r="C40" s="320">
        <v>0</v>
      </c>
      <c r="D40" s="1"/>
      <c r="E40" s="19" t="s">
        <v>680</v>
      </c>
      <c r="F40" s="19" t="s">
        <v>1157</v>
      </c>
      <c r="H40" s="71"/>
      <c r="I40" s="77"/>
    </row>
    <row r="41" spans="1:9">
      <c r="A41" s="12"/>
      <c r="B41" s="4" t="s">
        <v>703</v>
      </c>
      <c r="C41" s="320">
        <v>-2089.0199999999895</v>
      </c>
      <c r="D41" s="1"/>
      <c r="E41" s="19" t="s">
        <v>680</v>
      </c>
      <c r="F41" s="19" t="s">
        <v>1150</v>
      </c>
      <c r="H41" s="71"/>
      <c r="I41" s="77"/>
    </row>
    <row r="42" spans="1:9">
      <c r="A42" s="12"/>
      <c r="B42" s="4" t="s">
        <v>686</v>
      </c>
      <c r="C42" s="320">
        <v>0</v>
      </c>
      <c r="D42" s="1"/>
      <c r="E42" s="19" t="s">
        <v>680</v>
      </c>
      <c r="F42" s="19" t="s">
        <v>1151</v>
      </c>
      <c r="H42" s="71"/>
      <c r="I42" s="77"/>
    </row>
    <row r="43" spans="1:9">
      <c r="A43" s="12"/>
      <c r="B43" s="4" t="s">
        <v>683</v>
      </c>
      <c r="C43" s="326"/>
      <c r="D43" s="1"/>
      <c r="E43" s="1"/>
      <c r="F43" s="1"/>
      <c r="H43" s="1"/>
      <c r="I43" s="77"/>
    </row>
    <row r="44" spans="1:9">
      <c r="A44" s="12"/>
      <c r="B44" s="4" t="s">
        <v>684</v>
      </c>
      <c r="C44" s="320">
        <v>114690742.40999988</v>
      </c>
      <c r="D44" s="1"/>
      <c r="E44" s="19" t="s">
        <v>680</v>
      </c>
      <c r="F44" s="19" t="s">
        <v>1158</v>
      </c>
      <c r="H44" s="71"/>
      <c r="I44" s="77"/>
    </row>
    <row r="45" spans="1:9">
      <c r="A45" s="12"/>
      <c r="B45" s="4" t="s">
        <v>685</v>
      </c>
      <c r="C45" s="320">
        <v>39313439.729999997</v>
      </c>
      <c r="D45" s="1"/>
      <c r="E45" s="19" t="s">
        <v>680</v>
      </c>
      <c r="F45" s="19" t="s">
        <v>1159</v>
      </c>
      <c r="H45" s="71"/>
      <c r="I45" s="77"/>
    </row>
    <row r="46" spans="1:9">
      <c r="A46" s="12"/>
      <c r="B46" s="4" t="s">
        <v>703</v>
      </c>
      <c r="C46" s="320">
        <v>0</v>
      </c>
      <c r="D46" s="1"/>
      <c r="E46" s="19" t="s">
        <v>680</v>
      </c>
      <c r="F46" s="19" t="s">
        <v>1160</v>
      </c>
      <c r="H46" s="71"/>
      <c r="I46" s="77"/>
    </row>
    <row r="47" spans="1:9">
      <c r="A47" s="12"/>
      <c r="B47" s="4" t="s">
        <v>686</v>
      </c>
      <c r="C47" s="320">
        <v>0</v>
      </c>
      <c r="D47" s="1"/>
      <c r="E47" s="19" t="s">
        <v>680</v>
      </c>
      <c r="F47" s="19" t="s">
        <v>1161</v>
      </c>
      <c r="H47" s="71"/>
      <c r="I47" s="77"/>
    </row>
    <row r="48" spans="1:9">
      <c r="A48" s="12"/>
      <c r="B48" s="4" t="s">
        <v>815</v>
      </c>
      <c r="C48" s="326"/>
      <c r="D48" s="1"/>
      <c r="E48" s="19"/>
      <c r="F48" s="25"/>
      <c r="H48" s="71"/>
      <c r="I48" s="77"/>
    </row>
    <row r="49" spans="1:9">
      <c r="A49" s="12"/>
      <c r="B49" s="4" t="s">
        <v>684</v>
      </c>
      <c r="C49" s="320">
        <v>0</v>
      </c>
      <c r="D49" s="1"/>
      <c r="E49" s="19" t="s">
        <v>680</v>
      </c>
      <c r="F49" s="19" t="s">
        <v>1162</v>
      </c>
      <c r="H49" s="71"/>
      <c r="I49" s="77"/>
    </row>
    <row r="50" spans="1:9">
      <c r="A50" s="12"/>
      <c r="B50" s="4" t="s">
        <v>685</v>
      </c>
      <c r="C50" s="320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320">
        <v>0</v>
      </c>
      <c r="D51" s="1"/>
      <c r="E51" s="19" t="s">
        <v>680</v>
      </c>
      <c r="F51" s="19" t="s">
        <v>1163</v>
      </c>
      <c r="H51" s="71"/>
      <c r="I51" s="77"/>
    </row>
    <row r="52" spans="1:9">
      <c r="A52" s="12"/>
      <c r="B52" s="4" t="s">
        <v>686</v>
      </c>
      <c r="C52" s="320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1120</v>
      </c>
      <c r="C54" s="11">
        <v>16003857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1121</v>
      </c>
      <c r="C56" s="11">
        <v>155037041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1122</v>
      </c>
      <c r="C58" s="11">
        <v>12023894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1123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2075929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41712876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3072914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132429228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831</v>
      </c>
      <c r="C65" s="11">
        <v>8106961</v>
      </c>
      <c r="D65" s="1"/>
      <c r="E65" s="25" t="s">
        <v>442</v>
      </c>
      <c r="F65" s="19" t="s">
        <v>1073</v>
      </c>
      <c r="H65" s="71"/>
    </row>
    <row r="66" spans="1:9">
      <c r="A66" s="12"/>
      <c r="B66" s="2" t="s">
        <v>816</v>
      </c>
      <c r="C66" s="11">
        <v>0</v>
      </c>
      <c r="D66" s="1"/>
      <c r="E66" s="25" t="s">
        <v>442</v>
      </c>
      <c r="F66" s="19" t="s">
        <v>1074</v>
      </c>
      <c r="H66" s="71"/>
    </row>
    <row r="67" spans="1:9">
      <c r="A67" s="12"/>
      <c r="B67" s="2" t="s">
        <v>689</v>
      </c>
      <c r="C67" s="11">
        <v>1366095</v>
      </c>
      <c r="D67" s="1"/>
      <c r="E67" s="25" t="s">
        <v>442</v>
      </c>
      <c r="F67" s="25" t="s">
        <v>1118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371837469</v>
      </c>
      <c r="E69" s="19"/>
      <c r="H69" s="71"/>
    </row>
    <row r="70" spans="1:9">
      <c r="A70" s="12"/>
      <c r="E70" s="19"/>
      <c r="H70" s="71"/>
    </row>
    <row r="71" spans="1:9">
      <c r="A71" s="12"/>
      <c r="B71" s="318" t="s">
        <v>530</v>
      </c>
      <c r="C71" s="320">
        <v>279875549</v>
      </c>
      <c r="D71" s="321"/>
      <c r="E71" s="322" t="s">
        <v>441</v>
      </c>
      <c r="F71" s="323" t="s">
        <v>945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144792391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73416086</v>
      </c>
      <c r="D74" s="1"/>
      <c r="E74" s="25" t="s">
        <v>447</v>
      </c>
      <c r="F74" s="19" t="s">
        <v>1142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0.68162775659999997</v>
      </c>
      <c r="D78" s="1"/>
      <c r="E78" s="25" t="s">
        <v>447</v>
      </c>
      <c r="F78" s="19" t="s">
        <v>1143</v>
      </c>
      <c r="H78" s="71"/>
    </row>
    <row r="79" spans="1:9">
      <c r="A79" s="12"/>
      <c r="B79" s="2" t="s">
        <v>310</v>
      </c>
      <c r="C79" s="31">
        <f>1-C78</f>
        <v>0.31837224340000003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61380904.730999999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109053856.67400001</v>
      </c>
      <c r="E82" s="25"/>
      <c r="F82" s="19"/>
      <c r="H82" s="71"/>
    </row>
    <row r="83" spans="1:8">
      <c r="A83" s="12"/>
      <c r="B83" s="2" t="s">
        <v>312</v>
      </c>
      <c r="C83" s="11">
        <v>82085712.46100001</v>
      </c>
      <c r="D83" s="1"/>
      <c r="E83" s="25" t="s">
        <v>440</v>
      </c>
      <c r="F83" s="19" t="s">
        <v>1146</v>
      </c>
      <c r="H83" s="71"/>
    </row>
    <row r="84" spans="1:8">
      <c r="A84" s="12"/>
      <c r="B84" s="2" t="s">
        <v>313</v>
      </c>
      <c r="C84" s="11">
        <v>5849345.6850000005</v>
      </c>
      <c r="D84" s="1"/>
      <c r="E84" s="25" t="s">
        <v>440</v>
      </c>
      <c r="F84" s="19" t="s">
        <v>1145</v>
      </c>
      <c r="H84" s="71"/>
    </row>
    <row r="85" spans="1:8">
      <c r="A85" s="12"/>
      <c r="B85" s="2" t="s">
        <v>314</v>
      </c>
      <c r="C85" s="11">
        <v>21118798.528000001</v>
      </c>
      <c r="D85" s="1"/>
      <c r="E85" s="25" t="s">
        <v>440</v>
      </c>
      <c r="F85" s="19" t="s">
        <v>1144</v>
      </c>
      <c r="H85" s="71"/>
    </row>
    <row r="86" spans="1:8">
      <c r="A86" s="12"/>
      <c r="B86" s="2" t="s">
        <v>767</v>
      </c>
      <c r="C86" s="11">
        <v>22794206.5</v>
      </c>
      <c r="D86" s="1"/>
      <c r="E86" s="25" t="s">
        <v>440</v>
      </c>
      <c r="F86" s="19" t="s">
        <v>438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5704904.2300000004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46182639</v>
      </c>
      <c r="D92" s="1"/>
      <c r="E92" s="25" t="s">
        <v>448</v>
      </c>
      <c r="F92" s="25" t="s">
        <v>1119</v>
      </c>
      <c r="H92" s="71"/>
    </row>
    <row r="93" spans="1:8">
      <c r="A93" s="12"/>
      <c r="B93" s="2" t="s">
        <v>317</v>
      </c>
      <c r="C93" s="11">
        <v>13463107</v>
      </c>
      <c r="D93" s="1"/>
      <c r="E93" s="25" t="s">
        <v>448</v>
      </c>
      <c r="F93" s="25" t="s">
        <v>1106</v>
      </c>
      <c r="H93" s="71"/>
    </row>
    <row r="94" spans="1:8">
      <c r="A94" s="12"/>
      <c r="B94" s="2" t="s">
        <v>318</v>
      </c>
      <c r="C94" s="11">
        <v>-6580087.444000002</v>
      </c>
      <c r="D94" s="1"/>
      <c r="E94" s="25" t="s">
        <v>448</v>
      </c>
      <c r="F94" s="25" t="s">
        <v>1102</v>
      </c>
      <c r="H94" s="71"/>
    </row>
    <row r="95" spans="1:8">
      <c r="A95" s="12"/>
      <c r="B95" s="2" t="s">
        <v>319</v>
      </c>
      <c r="C95" s="11">
        <v>5058941</v>
      </c>
      <c r="D95" s="1"/>
      <c r="E95" s="25" t="s">
        <v>448</v>
      </c>
      <c r="F95" s="25" t="s">
        <v>1105</v>
      </c>
      <c r="H95" s="71"/>
    </row>
    <row r="96" spans="1:8">
      <c r="A96" s="12"/>
      <c r="B96" s="2" t="s">
        <v>320</v>
      </c>
      <c r="C96" s="11">
        <v>3496246</v>
      </c>
      <c r="D96" s="1"/>
      <c r="E96" s="25" t="s">
        <v>448</v>
      </c>
      <c r="F96" s="25" t="s">
        <v>1170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1107</v>
      </c>
      <c r="H97" s="71"/>
    </row>
    <row r="98" spans="1:8">
      <c r="A98" s="12"/>
      <c r="B98" s="2" t="s">
        <v>323</v>
      </c>
      <c r="C98" s="11">
        <v>145001</v>
      </c>
      <c r="D98" s="1"/>
      <c r="E98" s="25" t="s">
        <v>448</v>
      </c>
      <c r="F98" s="25" t="s">
        <v>1104</v>
      </c>
      <c r="H98" s="71"/>
    </row>
    <row r="99" spans="1:8">
      <c r="A99" s="12"/>
      <c r="B99" s="2" t="s">
        <v>420</v>
      </c>
      <c r="C99" s="11">
        <v>8487343</v>
      </c>
      <c r="D99" s="1"/>
      <c r="E99" s="25" t="s">
        <v>448</v>
      </c>
      <c r="F99" s="25" t="s">
        <v>1171</v>
      </c>
      <c r="H99" s="71"/>
    </row>
    <row r="100" spans="1:8">
      <c r="A100" s="12"/>
      <c r="B100" s="2" t="s">
        <v>418</v>
      </c>
      <c r="C100" s="11">
        <v>728098</v>
      </c>
      <c r="D100" s="1"/>
      <c r="E100" s="25" t="s">
        <v>448</v>
      </c>
      <c r="F100" s="25" t="s">
        <v>1172</v>
      </c>
      <c r="H100" s="71"/>
    </row>
    <row r="101" spans="1:8">
      <c r="A101" s="12"/>
      <c r="B101" s="2" t="s">
        <v>419</v>
      </c>
      <c r="C101" s="11">
        <v>0</v>
      </c>
      <c r="D101" s="1"/>
      <c r="E101" s="25" t="s">
        <v>448</v>
      </c>
      <c r="F101" s="25" t="s">
        <v>1108</v>
      </c>
      <c r="H101" s="71"/>
    </row>
    <row r="102" spans="1:8">
      <c r="A102" s="12"/>
      <c r="B102" s="2" t="s">
        <v>324</v>
      </c>
      <c r="C102" s="11">
        <v>5484021</v>
      </c>
      <c r="D102" s="1"/>
      <c r="E102" s="25" t="s">
        <v>448</v>
      </c>
      <c r="F102" s="25" t="s">
        <v>864</v>
      </c>
      <c r="H102" s="71"/>
    </row>
    <row r="103" spans="1:8">
      <c r="A103" s="12"/>
      <c r="B103" s="2" t="s">
        <v>325</v>
      </c>
      <c r="C103" s="11">
        <v>4446810</v>
      </c>
      <c r="D103" s="1"/>
      <c r="E103" s="25" t="s">
        <v>448</v>
      </c>
      <c r="F103" s="25" t="s">
        <v>1101</v>
      </c>
      <c r="H103" s="71"/>
    </row>
    <row r="104" spans="1:8">
      <c r="A104" s="12"/>
      <c r="B104" s="2" t="s">
        <v>326</v>
      </c>
      <c r="C104" s="11">
        <v>10695109</v>
      </c>
      <c r="D104" s="1"/>
      <c r="E104" s="25" t="s">
        <v>448</v>
      </c>
      <c r="F104" s="25" t="s">
        <v>1103</v>
      </c>
      <c r="H104" s="71"/>
    </row>
    <row r="105" spans="1:8">
      <c r="A105" s="12"/>
      <c r="B105" s="2" t="s">
        <v>327</v>
      </c>
      <c r="C105" s="11">
        <v>65931</v>
      </c>
      <c r="D105" s="227"/>
      <c r="E105" s="25" t="s">
        <v>754</v>
      </c>
      <c r="F105" s="228" t="s">
        <v>1147</v>
      </c>
      <c r="H105" s="71"/>
    </row>
    <row r="106" spans="1:8">
      <c r="A106" s="12"/>
      <c r="B106" s="2" t="s">
        <v>328</v>
      </c>
      <c r="C106" s="11">
        <v>1950065</v>
      </c>
      <c r="D106" s="227"/>
      <c r="E106" s="25" t="s">
        <v>448</v>
      </c>
      <c r="F106" s="25" t="s">
        <v>1173</v>
      </c>
      <c r="H106" s="71"/>
    </row>
    <row r="107" spans="1:8">
      <c r="A107" s="12"/>
      <c r="B107" s="2" t="s">
        <v>329</v>
      </c>
      <c r="C107" s="11">
        <v>11869482</v>
      </c>
      <c r="D107" s="1"/>
      <c r="E107" s="25" t="s">
        <v>448</v>
      </c>
      <c r="F107" s="25" t="s">
        <v>1174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18" t="s">
        <v>330</v>
      </c>
      <c r="C109" s="11">
        <v>4627120300.3219995</v>
      </c>
      <c r="D109" s="2"/>
      <c r="E109" s="25" t="s">
        <v>490</v>
      </c>
      <c r="F109" s="25" t="s">
        <v>1109</v>
      </c>
      <c r="H109" s="71"/>
    </row>
    <row r="110" spans="1:8">
      <c r="A110" s="2"/>
      <c r="B110" s="2" t="s">
        <v>620</v>
      </c>
      <c r="C110" s="11">
        <v>200079231</v>
      </c>
      <c r="D110" s="2"/>
      <c r="E110" s="25" t="s">
        <v>567</v>
      </c>
      <c r="F110" s="19" t="s">
        <v>826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827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4782910721</v>
      </c>
      <c r="D113" s="2"/>
      <c r="E113" s="25" t="s">
        <v>567</v>
      </c>
      <c r="F113" s="19" t="s">
        <v>828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4982989952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211947638.10999998</v>
      </c>
      <c r="D117" s="1"/>
      <c r="E117" s="25" t="s">
        <v>567</v>
      </c>
      <c r="F117" s="25" t="s">
        <v>692</v>
      </c>
      <c r="H117" s="71"/>
    </row>
    <row r="118" spans="1:8" ht="12.75">
      <c r="A118" s="12"/>
      <c r="B118" s="196" t="s">
        <v>829</v>
      </c>
      <c r="C118" s="11">
        <v>4116805.41</v>
      </c>
      <c r="D118" s="1"/>
      <c r="E118" s="25" t="s">
        <v>567</v>
      </c>
      <c r="F118" s="19" t="s">
        <v>1112</v>
      </c>
      <c r="H118" s="71"/>
    </row>
    <row r="119" spans="1:8" ht="12.75">
      <c r="A119" s="12"/>
      <c r="B119" s="197" t="s">
        <v>830</v>
      </c>
      <c r="C119" s="11">
        <v>3866684.66</v>
      </c>
      <c r="D119" s="1"/>
      <c r="E119" s="25" t="s">
        <v>567</v>
      </c>
      <c r="F119" s="19" t="s">
        <v>1113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1115</v>
      </c>
      <c r="H120" s="71"/>
    </row>
    <row r="121" spans="1:8">
      <c r="A121" s="12"/>
      <c r="B121" s="2" t="s">
        <v>1114</v>
      </c>
      <c r="C121" s="11">
        <v>0</v>
      </c>
      <c r="D121" s="1"/>
      <c r="E121" s="25" t="s">
        <v>567</v>
      </c>
      <c r="F121" s="228" t="s">
        <v>1116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1060</v>
      </c>
      <c r="H128" s="71"/>
    </row>
    <row r="129" spans="1:9">
      <c r="A129" s="12"/>
      <c r="B129" s="3" t="s">
        <v>613</v>
      </c>
      <c r="C129" s="11">
        <v>-3463212.63</v>
      </c>
      <c r="D129" s="1"/>
      <c r="E129" s="25" t="s">
        <v>490</v>
      </c>
      <c r="F129" s="19" t="s">
        <v>1061</v>
      </c>
      <c r="H129" s="71"/>
    </row>
    <row r="130" spans="1:9">
      <c r="A130" s="12"/>
      <c r="B130" s="14" t="s">
        <v>614</v>
      </c>
      <c r="C130" s="11">
        <v>24379199.419999994</v>
      </c>
      <c r="D130" s="1"/>
      <c r="E130" s="25" t="s">
        <v>490</v>
      </c>
      <c r="F130" s="19" t="s">
        <v>865</v>
      </c>
      <c r="H130" s="71"/>
    </row>
    <row r="131" spans="1:9">
      <c r="A131" s="12"/>
      <c r="B131" s="3" t="s">
        <v>610</v>
      </c>
      <c r="C131" s="11">
        <v>4648036287.1119995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27318338.489999998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-1317836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6760693</v>
      </c>
      <c r="D137" s="1"/>
      <c r="E137" s="25" t="s">
        <v>448</v>
      </c>
      <c r="F137" s="25" t="s">
        <v>1175</v>
      </c>
      <c r="H137" s="71"/>
    </row>
    <row r="138" spans="1:9">
      <c r="A138" s="12"/>
      <c r="B138" s="2" t="s">
        <v>340</v>
      </c>
      <c r="C138" s="11">
        <v>17287597</v>
      </c>
      <c r="D138" s="1"/>
      <c r="E138" s="25" t="s">
        <v>448</v>
      </c>
      <c r="F138" s="25" t="s">
        <v>1176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186246946</v>
      </c>
      <c r="D140" s="1"/>
      <c r="E140" s="25" t="s">
        <v>449</v>
      </c>
      <c r="F140" s="19" t="s">
        <v>822</v>
      </c>
      <c r="H140" s="71"/>
    </row>
    <row r="141" spans="1:9">
      <c r="A141" s="12"/>
      <c r="B141" s="2" t="s">
        <v>309</v>
      </c>
      <c r="C141" s="11">
        <v>119721442</v>
      </c>
      <c r="D141" s="1"/>
      <c r="E141" s="25" t="s">
        <v>449</v>
      </c>
      <c r="F141" s="19" t="s">
        <v>823</v>
      </c>
      <c r="H141" s="71"/>
    </row>
    <row r="142" spans="1:9">
      <c r="A142" s="12"/>
      <c r="B142" s="2" t="s">
        <v>310</v>
      </c>
      <c r="C142" s="11">
        <v>66525504</v>
      </c>
      <c r="D142" s="1"/>
      <c r="E142" s="25" t="s">
        <v>449</v>
      </c>
      <c r="F142" s="19" t="s">
        <v>824</v>
      </c>
      <c r="H142" s="71"/>
    </row>
    <row r="143" spans="1:9">
      <c r="A143" s="12"/>
      <c r="B143" s="2" t="s">
        <v>342</v>
      </c>
      <c r="C143" s="11">
        <v>579121879</v>
      </c>
      <c r="D143" s="1"/>
      <c r="E143" s="25" t="s">
        <v>450</v>
      </c>
      <c r="F143" s="19" t="s">
        <v>825</v>
      </c>
      <c r="H143" s="71"/>
      <c r="I143" s="77"/>
    </row>
    <row r="144" spans="1:9">
      <c r="A144" s="12"/>
      <c r="B144" s="2" t="s">
        <v>343</v>
      </c>
      <c r="C144" s="11">
        <v>61298455</v>
      </c>
      <c r="D144" s="1"/>
      <c r="E144" s="25" t="s">
        <v>450</v>
      </c>
      <c r="F144" s="19" t="s">
        <v>833</v>
      </c>
      <c r="H144" s="71"/>
    </row>
    <row r="145" spans="1:9">
      <c r="A145" s="12"/>
      <c r="B145" s="2" t="s">
        <v>344</v>
      </c>
      <c r="C145" s="11">
        <v>517823424</v>
      </c>
      <c r="D145" s="1"/>
      <c r="E145" s="25" t="s">
        <v>450</v>
      </c>
      <c r="F145" s="19" t="s">
        <v>834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207937131</v>
      </c>
      <c r="D147" s="1"/>
      <c r="E147" s="25" t="s">
        <v>492</v>
      </c>
      <c r="F147" s="25" t="s">
        <v>952</v>
      </c>
      <c r="H147" s="71"/>
    </row>
    <row r="148" spans="1:9">
      <c r="A148" s="4"/>
      <c r="B148" s="4" t="s">
        <v>901</v>
      </c>
      <c r="C148" s="11">
        <v>6307031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902</v>
      </c>
      <c r="C149" s="11">
        <v>4336435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18020136</v>
      </c>
      <c r="D150" s="1"/>
      <c r="E150" s="25" t="s">
        <v>492</v>
      </c>
      <c r="F150" s="25" t="s">
        <v>953</v>
      </c>
      <c r="H150" s="71"/>
    </row>
    <row r="151" spans="1:9">
      <c r="A151" s="12"/>
      <c r="B151" s="2" t="s">
        <v>656</v>
      </c>
      <c r="C151" s="11">
        <v>51885289</v>
      </c>
      <c r="D151" s="1"/>
      <c r="E151" s="25" t="s">
        <v>492</v>
      </c>
      <c r="F151" s="25" t="s">
        <v>954</v>
      </c>
      <c r="H151" s="71"/>
    </row>
    <row r="152" spans="1:9">
      <c r="A152" s="4" t="s">
        <v>272</v>
      </c>
      <c r="B152" s="4" t="s">
        <v>905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906</v>
      </c>
      <c r="H153" s="71"/>
    </row>
    <row r="154" spans="1:9">
      <c r="A154" s="4" t="s">
        <v>474</v>
      </c>
      <c r="B154" s="2" t="s">
        <v>580</v>
      </c>
      <c r="C154" s="11">
        <v>7908051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81184609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52253993.609999999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9188683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15507</v>
      </c>
      <c r="D158" s="1"/>
      <c r="E158" s="25" t="s">
        <v>444</v>
      </c>
      <c r="F158" s="25" t="s">
        <v>817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0.21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3.5900000000000001E-2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2021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82615503.500000015</v>
      </c>
      <c r="D377" s="146" t="s">
        <v>1167</v>
      </c>
      <c r="E377" s="25" t="s">
        <v>480</v>
      </c>
      <c r="F377" s="25" t="s">
        <v>1134</v>
      </c>
      <c r="H377" s="71"/>
    </row>
    <row r="378" spans="1:8">
      <c r="A378" s="4" t="s">
        <v>461</v>
      </c>
      <c r="B378" s="4" t="s">
        <v>363</v>
      </c>
      <c r="C378" s="145">
        <v>4320831972</v>
      </c>
      <c r="D378" s="146" t="str">
        <f>D377</f>
        <v>December, 2021</v>
      </c>
      <c r="E378" s="25" t="s">
        <v>441</v>
      </c>
      <c r="F378" s="19" t="s">
        <v>946</v>
      </c>
      <c r="H378" s="71"/>
    </row>
    <row r="379" spans="1:8">
      <c r="A379" s="4" t="s">
        <v>461</v>
      </c>
      <c r="B379" s="2" t="s">
        <v>364</v>
      </c>
      <c r="C379" s="145">
        <v>88254494</v>
      </c>
      <c r="D379" s="146" t="str">
        <f>D377</f>
        <v>December, 2021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2059913788</v>
      </c>
      <c r="D380" s="146" t="str">
        <f>D377</f>
        <v>December, 2021</v>
      </c>
      <c r="E380" s="25" t="s">
        <v>482</v>
      </c>
      <c r="F380" s="19" t="s">
        <v>1110</v>
      </c>
      <c r="H380" s="71"/>
    </row>
    <row r="381" spans="1:8">
      <c r="A381" s="4" t="s">
        <v>461</v>
      </c>
      <c r="B381" s="3" t="s">
        <v>283</v>
      </c>
      <c r="C381" s="145">
        <v>1896191</v>
      </c>
      <c r="D381" s="146" t="str">
        <f>D377</f>
        <v>December, 2021</v>
      </c>
      <c r="E381" s="25" t="s">
        <v>448</v>
      </c>
      <c r="F381" s="25" t="s">
        <v>1111</v>
      </c>
      <c r="H381" s="71"/>
    </row>
    <row r="382" spans="1:8">
      <c r="A382" s="4" t="s">
        <v>464</v>
      </c>
      <c r="B382" s="3" t="s">
        <v>421</v>
      </c>
      <c r="C382" s="145">
        <v>24486690.240000002</v>
      </c>
      <c r="D382" s="146" t="str">
        <f>D377</f>
        <v>December, 2021</v>
      </c>
      <c r="E382" s="25" t="s">
        <v>480</v>
      </c>
      <c r="F382" s="25" t="s">
        <v>1133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  <rowBreaks count="1" manualBreakCount="1">
    <brk id="7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9"/>
  <sheetViews>
    <sheetView view="pageBreakPreview" topLeftCell="A16" zoomScale="60" zoomScaleNormal="100" workbookViewId="0">
      <selection activeCell="C15" sqref="C14:C15"/>
    </sheetView>
  </sheetViews>
  <sheetFormatPr defaultColWidth="9" defaultRowHeight="12"/>
  <cols>
    <col min="1" max="1" width="6.625" style="37" customWidth="1"/>
    <col min="2" max="2" width="43.75" style="37" customWidth="1"/>
    <col min="3" max="3" width="12.375" style="37" customWidth="1"/>
    <col min="4" max="4" width="9" style="37"/>
    <col min="5" max="5" width="12.125" style="37" customWidth="1"/>
    <col min="6" max="16384" width="9" style="37"/>
  </cols>
  <sheetData>
    <row r="1" spans="1:5" ht="12.75">
      <c r="A1" s="2" t="s">
        <v>43</v>
      </c>
      <c r="B1"/>
      <c r="C1" s="3"/>
      <c r="E1" s="24" t="s">
        <v>972</v>
      </c>
    </row>
    <row r="2" spans="1:5" ht="12.75">
      <c r="A2" s="2" t="s">
        <v>55</v>
      </c>
      <c r="B2" s="3"/>
      <c r="C2" s="3"/>
      <c r="D2" s="3"/>
      <c r="E2" s="24" t="s">
        <v>44</v>
      </c>
    </row>
    <row r="3" spans="1:5" ht="12.75">
      <c r="A3" s="3"/>
      <c r="B3" s="3"/>
      <c r="C3" s="3"/>
      <c r="D3" s="3"/>
      <c r="E3" s="41" t="s">
        <v>966</v>
      </c>
    </row>
    <row r="4" spans="1:5" ht="12.75">
      <c r="A4" s="1" t="s">
        <v>65</v>
      </c>
      <c r="B4" s="3"/>
      <c r="C4" s="3"/>
      <c r="D4" s="3"/>
      <c r="E4" s="3"/>
    </row>
    <row r="5" spans="1:5" ht="12.75">
      <c r="A5" s="62"/>
      <c r="B5" s="3"/>
      <c r="C5" s="1" t="s">
        <v>66</v>
      </c>
      <c r="D5" s="1" t="s">
        <v>64</v>
      </c>
      <c r="E5" s="1" t="s">
        <v>63</v>
      </c>
    </row>
    <row r="6" spans="1:5" ht="12.7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 ht="12.75">
      <c r="A7" s="1">
        <v>1</v>
      </c>
      <c r="B7" s="198" t="s">
        <v>88</v>
      </c>
      <c r="C7" s="90"/>
      <c r="D7" s="90"/>
      <c r="E7" s="90"/>
    </row>
    <row r="8" spans="1:5" ht="12.75">
      <c r="A8" s="1">
        <f>+A7+1</f>
        <v>2</v>
      </c>
      <c r="B8" s="1" t="s">
        <v>98</v>
      </c>
      <c r="C8" s="3"/>
      <c r="D8" s="3"/>
      <c r="E8" s="3"/>
    </row>
    <row r="9" spans="1:5" ht="12.7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 ht="12.7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 ht="12.7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 ht="12.7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 ht="12.7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 ht="12.7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 ht="12.7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 ht="12.7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 ht="12.7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 ht="12.7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 ht="12.7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 ht="12.7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 ht="12.7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 ht="12.7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 ht="12.75">
      <c r="A23" s="1">
        <f t="shared" si="1"/>
        <v>17</v>
      </c>
      <c r="B23" s="2" t="s">
        <v>189</v>
      </c>
      <c r="C23" s="3"/>
      <c r="D23" s="3"/>
      <c r="E23" s="3"/>
    </row>
    <row r="24" spans="1:5" ht="12.75">
      <c r="A24" s="1">
        <f t="shared" si="1"/>
        <v>18</v>
      </c>
      <c r="B24" s="1" t="s">
        <v>765</v>
      </c>
      <c r="C24" s="3"/>
      <c r="D24" s="3"/>
      <c r="E24" s="3"/>
    </row>
    <row r="25" spans="1:5" ht="12.7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 ht="12.7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 ht="12.7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 ht="12.7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 ht="12.7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 ht="12.7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 ht="12.7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 ht="12.7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 ht="12.7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 ht="12.7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 ht="12.7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 ht="12.7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 ht="12.7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 ht="12.75">
      <c r="A38" s="1">
        <f t="shared" si="1"/>
        <v>32</v>
      </c>
      <c r="B38" s="2" t="s">
        <v>764</v>
      </c>
      <c r="C38" s="19"/>
      <c r="D38" s="1"/>
    </row>
    <row r="39" spans="1:5" ht="12.75">
      <c r="A39" s="1">
        <f t="shared" si="1"/>
        <v>33</v>
      </c>
      <c r="B39" s="1" t="s">
        <v>194</v>
      </c>
      <c r="C39" s="19"/>
      <c r="D39" s="1"/>
    </row>
    <row r="40" spans="1:5" ht="12.7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 ht="12.7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 ht="12.7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 ht="12.7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 ht="12.7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 ht="12.7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 ht="12.7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 ht="12.7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 ht="12.7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 ht="12.7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 ht="12.7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 ht="12.75">
      <c r="A51" s="1">
        <f t="shared" si="1"/>
        <v>45</v>
      </c>
      <c r="B51" s="2" t="s">
        <v>244</v>
      </c>
      <c r="C51" s="3"/>
      <c r="D51" s="3"/>
      <c r="E51" s="3"/>
    </row>
    <row r="52" spans="1:5" ht="12.75">
      <c r="A52" s="1">
        <f t="shared" si="1"/>
        <v>46</v>
      </c>
      <c r="B52" s="1" t="s">
        <v>245</v>
      </c>
      <c r="C52" s="3"/>
      <c r="D52" s="3"/>
      <c r="E52" s="3"/>
    </row>
    <row r="53" spans="1:5" ht="12.7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 ht="12.7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 ht="12.7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 ht="12.7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 ht="12.7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 ht="12.7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 ht="12.7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 ht="12.7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 ht="12.7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 ht="12.75">
      <c r="A63" s="2" t="s">
        <v>43</v>
      </c>
      <c r="E63" s="24" t="s">
        <v>972</v>
      </c>
    </row>
    <row r="64" spans="1:5" ht="12.75">
      <c r="A64" s="2" t="s">
        <v>55</v>
      </c>
      <c r="E64" s="24" t="s">
        <v>44</v>
      </c>
    </row>
    <row r="65" spans="1:5" ht="12.75">
      <c r="E65" s="41" t="s">
        <v>967</v>
      </c>
    </row>
    <row r="66" spans="1:5" ht="12.75">
      <c r="A66" s="1" t="s">
        <v>65</v>
      </c>
      <c r="B66" s="3"/>
      <c r="C66" s="3"/>
      <c r="D66" s="3"/>
      <c r="E66" s="3"/>
    </row>
    <row r="67" spans="1:5" ht="12.7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 ht="12.7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 ht="12.75">
      <c r="A70" s="1">
        <f>+A61+1</f>
        <v>56</v>
      </c>
      <c r="B70" s="2" t="s">
        <v>261</v>
      </c>
      <c r="C70" s="3"/>
      <c r="D70" s="3"/>
      <c r="E70" s="3"/>
    </row>
    <row r="71" spans="1:5" ht="12.7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 ht="12.7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 ht="12.7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 ht="12.7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 ht="12.7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 ht="12.7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 ht="12.75">
      <c r="A78" s="2" t="s">
        <v>485</v>
      </c>
      <c r="B78" s="2"/>
    </row>
    <row r="79" spans="1:5" ht="12.7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1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0"/>
  <sheetViews>
    <sheetView topLeftCell="A16" zoomScaleNormal="100" workbookViewId="0">
      <selection activeCell="D41" sqref="D41"/>
    </sheetView>
  </sheetViews>
  <sheetFormatPr defaultColWidth="9" defaultRowHeight="12"/>
  <cols>
    <col min="1" max="1" width="5.75" style="37" customWidth="1"/>
    <col min="2" max="2" width="38.625" style="37" customWidth="1"/>
    <col min="3" max="3" width="13.625" style="37" customWidth="1"/>
    <col min="4" max="4" width="12.25" style="37" customWidth="1"/>
    <col min="5" max="5" width="13.75" style="37" customWidth="1"/>
    <col min="6" max="16384" width="9" style="37"/>
  </cols>
  <sheetData>
    <row r="1" spans="1:35" ht="12.75">
      <c r="A1" s="2" t="s">
        <v>45</v>
      </c>
      <c r="B1"/>
      <c r="C1" s="3"/>
      <c r="E1" s="24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12/31/2021 (actuals) for 2022</v>
      </c>
      <c r="B2" s="3"/>
      <c r="C2" s="3"/>
      <c r="D2" s="3"/>
      <c r="E2" s="24" t="s">
        <v>46</v>
      </c>
    </row>
    <row r="3" spans="1:35" ht="12.75">
      <c r="A3" s="3"/>
      <c r="B3" s="3"/>
      <c r="C3" s="3"/>
      <c r="D3" s="3"/>
      <c r="E3" s="3"/>
    </row>
    <row r="4" spans="1:35" ht="12.75">
      <c r="A4" s="3"/>
      <c r="B4" s="3"/>
      <c r="C4" s="5" t="s">
        <v>60</v>
      </c>
      <c r="D4" s="3"/>
      <c r="E4" s="3"/>
    </row>
    <row r="5" spans="1:35" ht="12.75">
      <c r="B5" s="3"/>
      <c r="C5" s="5" t="s">
        <v>67</v>
      </c>
      <c r="D5" s="5" t="s">
        <v>63</v>
      </c>
      <c r="E5" s="5" t="s">
        <v>64</v>
      </c>
    </row>
    <row r="6" spans="1:35" ht="12.75">
      <c r="A6" s="3"/>
      <c r="B6" s="3"/>
      <c r="C6" s="5" t="s">
        <v>374</v>
      </c>
      <c r="D6" s="5" t="s">
        <v>16</v>
      </c>
      <c r="E6" s="5" t="s">
        <v>17</v>
      </c>
    </row>
    <row r="7" spans="1:35" ht="12.75">
      <c r="A7" s="3"/>
      <c r="B7" s="2" t="s">
        <v>89</v>
      </c>
      <c r="C7" s="3"/>
      <c r="D7" s="3"/>
      <c r="E7" s="3"/>
    </row>
    <row r="8" spans="1:35" ht="12.75">
      <c r="A8" s="3"/>
      <c r="B8" s="206" t="s">
        <v>899</v>
      </c>
      <c r="C8" s="3"/>
      <c r="D8" s="3"/>
      <c r="E8" s="3"/>
    </row>
    <row r="9" spans="1:35" ht="12.75">
      <c r="A9" s="4" t="s">
        <v>274</v>
      </c>
      <c r="B9" s="2" t="s">
        <v>106</v>
      </c>
      <c r="C9" s="14">
        <f>INPUT!C147</f>
        <v>207937131</v>
      </c>
      <c r="D9" s="14">
        <f>C9</f>
        <v>207937131</v>
      </c>
      <c r="E9" s="14">
        <v>0</v>
      </c>
    </row>
    <row r="10" spans="1:35" ht="12.75">
      <c r="A10" s="3"/>
      <c r="B10" s="3"/>
      <c r="C10" s="3"/>
      <c r="D10" s="3"/>
      <c r="E10" s="3"/>
    </row>
    <row r="11" spans="1:35" ht="12.7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 ht="12.75">
      <c r="A12" s="3"/>
      <c r="B12" s="3"/>
      <c r="C12" s="3"/>
      <c r="D12" s="3"/>
      <c r="E12" s="3"/>
    </row>
    <row r="13" spans="1:35" ht="12.75">
      <c r="A13" s="4" t="s">
        <v>276</v>
      </c>
      <c r="B13" s="2" t="s">
        <v>903</v>
      </c>
      <c r="C13" s="3">
        <f>+INPUT!C148</f>
        <v>6307031</v>
      </c>
      <c r="D13" s="3">
        <f>C13</f>
        <v>6307031</v>
      </c>
      <c r="E13" s="3">
        <v>0</v>
      </c>
    </row>
    <row r="14" spans="1:35" ht="12.75">
      <c r="A14" s="3"/>
      <c r="B14" s="3"/>
      <c r="C14" s="3"/>
      <c r="D14" s="3"/>
      <c r="E14" s="3"/>
    </row>
    <row r="15" spans="1:35" ht="12.75">
      <c r="A15" s="4" t="s">
        <v>278</v>
      </c>
      <c r="B15" s="4" t="s">
        <v>904</v>
      </c>
      <c r="C15" s="3">
        <f>+INPUT!C149</f>
        <v>4336435</v>
      </c>
      <c r="D15" s="3">
        <f>C15</f>
        <v>4336435</v>
      </c>
      <c r="E15" s="3">
        <v>0</v>
      </c>
    </row>
    <row r="16" spans="1:35" ht="12.75">
      <c r="B16" s="3"/>
      <c r="C16" s="3"/>
      <c r="D16" s="3"/>
      <c r="E16" s="3"/>
    </row>
    <row r="17" spans="1:5" ht="12.7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 ht="12.75">
      <c r="A18" s="3"/>
      <c r="B18" s="3"/>
      <c r="C18" s="3"/>
      <c r="D18" s="3"/>
      <c r="E18" s="3"/>
    </row>
    <row r="19" spans="1:5" ht="12.75">
      <c r="A19" s="4" t="s">
        <v>270</v>
      </c>
      <c r="B19" s="4" t="s">
        <v>958</v>
      </c>
      <c r="C19" s="14">
        <f>+INPUT!C150</f>
        <v>18020136</v>
      </c>
      <c r="D19" s="14">
        <f>C19</f>
        <v>18020136</v>
      </c>
      <c r="E19" s="14">
        <v>0</v>
      </c>
    </row>
    <row r="20" spans="1:5" customFormat="1"/>
    <row r="21" spans="1:5" ht="12.75">
      <c r="A21" s="4" t="s">
        <v>271</v>
      </c>
      <c r="B21" s="4" t="s">
        <v>9</v>
      </c>
      <c r="C21" s="14">
        <f>'B3-B4'!D15</f>
        <v>1687450.3579857631</v>
      </c>
      <c r="D21" s="14">
        <f>C21</f>
        <v>1687450.3579857631</v>
      </c>
      <c r="E21" s="14">
        <f>0</f>
        <v>0</v>
      </c>
    </row>
    <row r="22" spans="1:5" ht="12.75">
      <c r="B22" s="3"/>
      <c r="C22" s="3"/>
      <c r="D22" s="3"/>
      <c r="E22" s="3"/>
    </row>
    <row r="23" spans="1:5" ht="12.75">
      <c r="A23" s="4" t="s">
        <v>282</v>
      </c>
      <c r="B23" s="4" t="s">
        <v>925</v>
      </c>
      <c r="C23" s="14">
        <f>ROUND(INPUT!C151*'B7'!$D$42,10)</f>
        <v>26308114.726470198</v>
      </c>
      <c r="D23" s="14">
        <f>ROUND($C$23*('B7'!$E$32/'B7'!$D$32),10)</f>
        <v>17932341.220509</v>
      </c>
      <c r="E23" s="14">
        <f>ROUND($C$23*('B7'!$F32/'B7'!$D$32),10)</f>
        <v>8375773.5059612403</v>
      </c>
    </row>
    <row r="24" spans="1:5" ht="12.75">
      <c r="A24" s="3"/>
      <c r="B24" s="3"/>
      <c r="C24" s="3"/>
      <c r="D24" s="3"/>
      <c r="E24" s="3"/>
    </row>
    <row r="25" spans="1:5" ht="12.75">
      <c r="A25" s="3"/>
      <c r="B25" s="3"/>
      <c r="C25" s="3"/>
      <c r="D25" s="3"/>
      <c r="E25" s="3"/>
    </row>
    <row r="26" spans="1:5" ht="12.75">
      <c r="A26" s="4" t="s">
        <v>284</v>
      </c>
      <c r="B26" s="2" t="s">
        <v>900</v>
      </c>
      <c r="C26" s="14">
        <f>SUM(C9:C24)</f>
        <v>264596298.08445597</v>
      </c>
      <c r="D26" s="14">
        <f>SUM(D9:D24)</f>
        <v>256220524.57849476</v>
      </c>
      <c r="E26" s="14">
        <f>SUM(E9:E24)</f>
        <v>8375773.5059612403</v>
      </c>
    </row>
    <row r="27" spans="1:5" ht="12.75">
      <c r="B27" s="3"/>
      <c r="C27" s="3"/>
      <c r="D27" s="3"/>
      <c r="E27" s="3"/>
    </row>
    <row r="28" spans="1:5" ht="12.75">
      <c r="E28" s="3"/>
    </row>
    <row r="29" spans="1:5" ht="12.75">
      <c r="A29" s="4" t="s">
        <v>591</v>
      </c>
      <c r="B29" s="4" t="s">
        <v>1037</v>
      </c>
      <c r="C29" s="3"/>
      <c r="D29" s="3"/>
      <c r="E29" s="3"/>
    </row>
    <row r="30" spans="1:5" ht="12.75">
      <c r="A30" s="3"/>
      <c r="B30" s="4" t="s">
        <v>801</v>
      </c>
      <c r="C30" s="3"/>
      <c r="D30" s="3"/>
      <c r="E30" s="3"/>
    </row>
    <row r="31" spans="1:5" ht="12.75">
      <c r="A31" s="3"/>
      <c r="B31" s="3"/>
      <c r="C31" s="3"/>
      <c r="D31" s="3"/>
    </row>
    <row r="32" spans="1:5" ht="12.75">
      <c r="A32" s="3"/>
      <c r="B32" s="4" t="s">
        <v>959</v>
      </c>
      <c r="C32" s="3"/>
      <c r="D32" s="3"/>
    </row>
    <row r="33" spans="1:5" ht="12.75">
      <c r="A33" s="3"/>
      <c r="B33" s="4" t="s">
        <v>554</v>
      </c>
      <c r="C33" s="3"/>
      <c r="D33" s="3"/>
    </row>
    <row r="34" spans="1:5" ht="12.75">
      <c r="A34" s="3"/>
      <c r="B34" s="4" t="s">
        <v>1098</v>
      </c>
      <c r="C34" s="3"/>
      <c r="D34" s="3"/>
    </row>
    <row r="35" spans="1:5" ht="12.75">
      <c r="A35" s="3"/>
      <c r="B35" s="4" t="s">
        <v>1062</v>
      </c>
      <c r="C35" s="3"/>
      <c r="D35" s="3"/>
    </row>
    <row r="36" spans="1:5" ht="12.75">
      <c r="A36" s="2" t="s">
        <v>398</v>
      </c>
      <c r="B36" s="4" t="s">
        <v>960</v>
      </c>
      <c r="C36" s="3"/>
    </row>
    <row r="37" spans="1:5" ht="12.75">
      <c r="A37" s="3"/>
      <c r="B37" s="3"/>
      <c r="C37" s="3"/>
    </row>
    <row r="38" spans="1:5" ht="12.75">
      <c r="A38" s="204" t="s">
        <v>400</v>
      </c>
      <c r="B38" s="204"/>
      <c r="C38" s="204"/>
      <c r="D38" s="204"/>
      <c r="E38" s="3"/>
    </row>
    <row r="39" spans="1:5" ht="12.75">
      <c r="A39" s="210" t="s">
        <v>928</v>
      </c>
      <c r="B39" s="204" t="s">
        <v>588</v>
      </c>
      <c r="C39" s="204"/>
      <c r="D39" s="204"/>
      <c r="E39" s="3"/>
    </row>
    <row r="40" spans="1:5" ht="12.75">
      <c r="A40" s="210" t="s">
        <v>929</v>
      </c>
      <c r="B40" s="204" t="s">
        <v>922</v>
      </c>
      <c r="C40" s="204" t="s">
        <v>923</v>
      </c>
      <c r="D40" s="204">
        <v>11064919</v>
      </c>
      <c r="E40" s="3"/>
    </row>
    <row r="41" spans="1:5" ht="12.75">
      <c r="A41" s="210" t="s">
        <v>930</v>
      </c>
      <c r="B41" s="204" t="s">
        <v>530</v>
      </c>
      <c r="C41" s="204" t="s">
        <v>923</v>
      </c>
      <c r="D41" s="209">
        <v>40820370</v>
      </c>
      <c r="E41" s="3"/>
    </row>
    <row r="42" spans="1:5" ht="12.75">
      <c r="A42" s="210" t="s">
        <v>931</v>
      </c>
      <c r="B42" s="204" t="s">
        <v>924</v>
      </c>
      <c r="C42" s="204" t="s">
        <v>936</v>
      </c>
      <c r="D42" s="204">
        <f>+D40+D41</f>
        <v>51885289</v>
      </c>
      <c r="E42" s="3"/>
    </row>
    <row r="43" spans="1:5" ht="12.75">
      <c r="A43" s="210"/>
      <c r="B43" s="204"/>
      <c r="C43" s="204" t="s">
        <v>272</v>
      </c>
      <c r="D43" s="204"/>
      <c r="E43" s="3"/>
    </row>
    <row r="44" spans="1:5" ht="12.75">
      <c r="A44" s="210" t="s">
        <v>932</v>
      </c>
      <c r="B44" s="204" t="s">
        <v>927</v>
      </c>
      <c r="C44" s="204" t="s">
        <v>1099</v>
      </c>
      <c r="D44" s="217">
        <f>'B7'!E42</f>
        <v>0.3456151361</v>
      </c>
      <c r="E44" s="3"/>
    </row>
    <row r="45" spans="1:5" ht="12.75">
      <c r="A45" s="210" t="s">
        <v>933</v>
      </c>
      <c r="B45" s="204" t="s">
        <v>941</v>
      </c>
      <c r="C45" s="204" t="s">
        <v>937</v>
      </c>
      <c r="D45" s="204">
        <f>+D42*D44</f>
        <v>17932341.219322834</v>
      </c>
      <c r="E45" s="3"/>
    </row>
    <row r="46" spans="1:5" ht="12.75">
      <c r="A46" s="210"/>
      <c r="B46" s="204"/>
      <c r="C46" s="204"/>
      <c r="D46" s="204"/>
      <c r="E46" s="3"/>
    </row>
    <row r="47" spans="1:5" ht="12.75">
      <c r="A47" s="210" t="s">
        <v>934</v>
      </c>
      <c r="B47" s="204" t="s">
        <v>1084</v>
      </c>
      <c r="C47" s="204" t="s">
        <v>1099</v>
      </c>
      <c r="D47" s="217">
        <f>+'B7'!F42</f>
        <v>0.16142867599999999</v>
      </c>
      <c r="E47" s="3"/>
    </row>
    <row r="48" spans="1:5" ht="12.75">
      <c r="A48" s="210" t="s">
        <v>935</v>
      </c>
      <c r="B48" s="204" t="s">
        <v>942</v>
      </c>
      <c r="C48" s="204" t="s">
        <v>938</v>
      </c>
      <c r="D48" s="218">
        <f>+D42*D47</f>
        <v>8375773.5071473634</v>
      </c>
      <c r="E48" s="3"/>
    </row>
    <row r="49" spans="1:5" ht="12.75">
      <c r="A49" s="210" t="s">
        <v>939</v>
      </c>
      <c r="B49" s="204" t="s">
        <v>926</v>
      </c>
      <c r="C49" s="204" t="s">
        <v>940</v>
      </c>
      <c r="D49" s="204">
        <f>+D45+D48</f>
        <v>26308114.726470198</v>
      </c>
      <c r="E49" s="3"/>
    </row>
    <row r="50" spans="1:5" ht="12.7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I40"/>
  <sheetViews>
    <sheetView view="pageBreakPreview" zoomScale="60" zoomScaleNormal="100" workbookViewId="0">
      <selection activeCell="F23" sqref="F23"/>
    </sheetView>
  </sheetViews>
  <sheetFormatPr defaultColWidth="9" defaultRowHeight="12"/>
  <cols>
    <col min="1" max="1" width="9.625" style="37" customWidth="1"/>
    <col min="2" max="2" width="45.625" style="37" customWidth="1"/>
    <col min="3" max="3" width="14.75" style="37" customWidth="1"/>
    <col min="4" max="4" width="14.375" style="37" customWidth="1"/>
    <col min="5" max="5" width="8.375" style="37" customWidth="1"/>
    <col min="6" max="6" width="16" style="37" customWidth="1"/>
    <col min="7" max="7" width="9" style="37"/>
    <col min="8" max="8" width="4.125" style="37" customWidth="1"/>
    <col min="9" max="9" width="25.125" style="37" customWidth="1"/>
    <col min="10" max="10" width="17.375" style="37" customWidth="1"/>
    <col min="11" max="11" width="15.375" style="37" customWidth="1"/>
    <col min="12" max="12" width="15.125" style="37" customWidth="1"/>
    <col min="13" max="13" width="14.875" style="37" customWidth="1"/>
    <col min="14" max="16384" width="9" style="37"/>
  </cols>
  <sheetData>
    <row r="1" spans="1:35" ht="15">
      <c r="A1" s="287" t="s">
        <v>47</v>
      </c>
      <c r="B1" s="288"/>
      <c r="C1" s="289"/>
      <c r="D1" s="290"/>
      <c r="E1" s="290"/>
      <c r="F1" s="291" t="s">
        <v>972</v>
      </c>
      <c r="G1" s="290"/>
      <c r="H1" s="287" t="s">
        <v>49</v>
      </c>
      <c r="I1" s="289"/>
      <c r="J1" s="289"/>
      <c r="K1" s="289"/>
      <c r="L1" s="292" t="s">
        <v>272</v>
      </c>
      <c r="M1" s="291" t="s">
        <v>972</v>
      </c>
      <c r="W1" s="37" t="s">
        <v>272</v>
      </c>
      <c r="AC1" s="37" t="s">
        <v>272</v>
      </c>
      <c r="AI1" s="37" t="s">
        <v>272</v>
      </c>
    </row>
    <row r="2" spans="1:35" ht="15">
      <c r="A2" s="287" t="s">
        <v>56</v>
      </c>
      <c r="B2" s="289"/>
      <c r="C2" s="289"/>
      <c r="D2" s="289"/>
      <c r="E2" s="289"/>
      <c r="F2" s="291" t="s">
        <v>48</v>
      </c>
      <c r="G2" s="290"/>
      <c r="H2" s="293" t="str">
        <f>INPUT!$B$2</f>
        <v>12 Months Ending 12/31/2021 (actuals) for 2022</v>
      </c>
      <c r="I2" s="289"/>
      <c r="J2" s="289"/>
      <c r="K2" s="289"/>
      <c r="L2" s="289"/>
      <c r="M2" s="291" t="s">
        <v>50</v>
      </c>
    </row>
    <row r="3" spans="1:35" ht="15">
      <c r="A3" s="293" t="str">
        <f>INPUT!$B$2</f>
        <v>12 Months Ending 12/31/2021 (actuals) for 2022</v>
      </c>
      <c r="B3" s="289"/>
      <c r="C3" s="289"/>
      <c r="D3" s="289"/>
      <c r="E3" s="289"/>
      <c r="F3" s="289"/>
      <c r="G3" s="290"/>
      <c r="H3" s="290"/>
      <c r="I3" s="289"/>
      <c r="J3" s="290"/>
      <c r="K3" s="289"/>
      <c r="L3" s="289"/>
      <c r="M3" s="289"/>
    </row>
    <row r="4" spans="1:35" ht="15">
      <c r="A4" s="289"/>
      <c r="B4" s="289"/>
      <c r="C4" s="289"/>
      <c r="D4" s="289"/>
      <c r="E4" s="289"/>
      <c r="F4" s="289"/>
      <c r="G4" s="290"/>
      <c r="H4" s="289"/>
      <c r="I4" s="289"/>
      <c r="J4" s="289"/>
      <c r="K4" s="289"/>
      <c r="L4" s="289"/>
      <c r="M4" s="289"/>
    </row>
    <row r="5" spans="1:35" ht="15">
      <c r="A5" s="290"/>
      <c r="B5" s="289"/>
      <c r="C5" s="289"/>
      <c r="D5" s="289"/>
      <c r="E5" s="289"/>
      <c r="F5" s="289"/>
      <c r="G5" s="290"/>
      <c r="H5" s="289"/>
      <c r="I5" s="289"/>
      <c r="J5" s="294" t="s">
        <v>372</v>
      </c>
      <c r="K5" s="294" t="s">
        <v>288</v>
      </c>
      <c r="L5" s="294" t="s">
        <v>63</v>
      </c>
      <c r="M5" s="294" t="s">
        <v>64</v>
      </c>
    </row>
    <row r="6" spans="1:35" ht="15">
      <c r="A6" s="289"/>
      <c r="B6" s="289"/>
      <c r="C6" s="295" t="s">
        <v>58</v>
      </c>
      <c r="D6" s="296"/>
      <c r="E6" s="289"/>
      <c r="F6" s="297" t="s">
        <v>57</v>
      </c>
      <c r="G6" s="298"/>
      <c r="H6" s="289"/>
      <c r="I6" s="289"/>
      <c r="J6" s="289"/>
      <c r="K6" s="294" t="s">
        <v>374</v>
      </c>
      <c r="L6" s="294" t="s">
        <v>16</v>
      </c>
      <c r="M6" s="294" t="s">
        <v>17</v>
      </c>
    </row>
    <row r="7" spans="1:35" ht="15">
      <c r="A7" s="289"/>
      <c r="B7" s="289"/>
      <c r="C7" s="299" t="s">
        <v>369</v>
      </c>
      <c r="D7" s="300" t="s">
        <v>370</v>
      </c>
      <c r="E7" s="301" t="s">
        <v>366</v>
      </c>
      <c r="F7" s="302" t="s">
        <v>288</v>
      </c>
      <c r="G7" s="290"/>
      <c r="H7" s="289"/>
      <c r="I7" s="289"/>
      <c r="J7" s="289"/>
      <c r="K7" s="289"/>
      <c r="L7" s="289"/>
      <c r="M7" s="289"/>
    </row>
    <row r="8" spans="1:35" ht="15">
      <c r="A8" s="289"/>
      <c r="B8" s="289"/>
      <c r="C8" s="289"/>
      <c r="D8" s="303">
        <v>-1</v>
      </c>
      <c r="E8" s="303">
        <v>-2</v>
      </c>
      <c r="F8" s="294">
        <v>-3</v>
      </c>
      <c r="G8" s="290"/>
      <c r="H8" s="287" t="s">
        <v>373</v>
      </c>
      <c r="I8" s="304" t="s">
        <v>428</v>
      </c>
      <c r="J8" s="287" t="s">
        <v>855</v>
      </c>
      <c r="K8" s="305">
        <f>'B5'!D38</f>
        <v>291678040.62212002</v>
      </c>
      <c r="L8" s="305">
        <f>'B5'!E38</f>
        <v>272776655.51142597</v>
      </c>
      <c r="M8" s="305">
        <f>'B5'!F38</f>
        <v>18901385.1106942</v>
      </c>
    </row>
    <row r="9" spans="1:35" ht="15">
      <c r="A9" s="289"/>
      <c r="B9" s="287" t="s">
        <v>582</v>
      </c>
      <c r="C9" s="289"/>
      <c r="D9" s="289"/>
      <c r="E9" s="289"/>
      <c r="F9" s="289"/>
      <c r="G9" s="290"/>
      <c r="H9" s="289"/>
      <c r="I9" s="289"/>
      <c r="J9" s="289"/>
      <c r="K9" s="289"/>
      <c r="L9" s="289"/>
      <c r="M9" s="289"/>
    </row>
    <row r="10" spans="1:35" ht="15">
      <c r="A10" s="289"/>
      <c r="B10" s="287"/>
      <c r="C10" s="289"/>
      <c r="D10" s="289"/>
      <c r="E10" s="289"/>
      <c r="F10" s="289"/>
      <c r="G10" s="290"/>
      <c r="H10" s="287" t="s">
        <v>377</v>
      </c>
      <c r="I10" s="287" t="s">
        <v>224</v>
      </c>
      <c r="J10" s="304" t="s">
        <v>555</v>
      </c>
      <c r="K10" s="306">
        <f>'B19'!D8</f>
        <v>0.21184933758015853</v>
      </c>
      <c r="L10" s="306">
        <f>+$K$10</f>
        <v>0.21184933758015853</v>
      </c>
      <c r="M10" s="306">
        <f>+$K$10</f>
        <v>0.21184933758015853</v>
      </c>
    </row>
    <row r="11" spans="1:35" ht="15">
      <c r="A11" s="307">
        <v>1</v>
      </c>
      <c r="B11" s="289" t="s">
        <v>583</v>
      </c>
      <c r="C11" s="308" t="s">
        <v>376</v>
      </c>
      <c r="D11" s="289">
        <f>INPUT!C154</f>
        <v>7908051</v>
      </c>
      <c r="E11" s="308" t="s">
        <v>383</v>
      </c>
      <c r="F11" s="289">
        <f>(D11*D31)</f>
        <v>4009728.3308568527</v>
      </c>
      <c r="G11" s="290"/>
      <c r="H11" s="289"/>
      <c r="I11" s="289"/>
      <c r="J11" s="287"/>
      <c r="K11" s="305"/>
      <c r="L11" s="305"/>
      <c r="M11" s="305"/>
    </row>
    <row r="12" spans="1:35" ht="15">
      <c r="A12" s="287"/>
      <c r="B12" s="287"/>
      <c r="C12" s="294"/>
      <c r="D12" s="305"/>
      <c r="E12" s="308"/>
      <c r="F12" s="289"/>
      <c r="G12" s="290"/>
      <c r="H12" s="287" t="s">
        <v>379</v>
      </c>
      <c r="I12" s="289" t="s">
        <v>517</v>
      </c>
      <c r="J12" s="304" t="s">
        <v>556</v>
      </c>
      <c r="K12" s="289">
        <f>+K8*K10</f>
        <v>61791799.692474701</v>
      </c>
      <c r="L12" s="289">
        <f>+L8*L10</f>
        <v>57787553.77742669</v>
      </c>
      <c r="M12" s="289">
        <f>+M8*M10</f>
        <v>4004245.9150480377</v>
      </c>
    </row>
    <row r="13" spans="1:35" ht="15">
      <c r="A13" s="287">
        <v>2</v>
      </c>
      <c r="B13" s="287" t="s">
        <v>584</v>
      </c>
      <c r="C13" s="294" t="s">
        <v>376</v>
      </c>
      <c r="D13" s="305">
        <f>INPUT!C155</f>
        <v>81184609</v>
      </c>
      <c r="E13" s="308" t="s">
        <v>385</v>
      </c>
      <c r="F13" s="289">
        <f>D13*'B6'!$F$20</f>
        <v>34858481.839841403</v>
      </c>
      <c r="G13" s="290"/>
      <c r="H13" s="287"/>
      <c r="I13" s="287"/>
      <c r="J13" s="287"/>
      <c r="K13" s="305"/>
      <c r="L13" s="305"/>
      <c r="M13" s="305"/>
    </row>
    <row r="14" spans="1:35" ht="15">
      <c r="A14" s="307"/>
      <c r="B14" s="289"/>
      <c r="C14" s="308"/>
      <c r="D14" s="289"/>
      <c r="E14" s="308"/>
      <c r="F14" s="289"/>
      <c r="G14" s="290"/>
      <c r="H14" s="287" t="s">
        <v>380</v>
      </c>
      <c r="I14" s="289" t="s">
        <v>514</v>
      </c>
      <c r="J14" s="304" t="s">
        <v>557</v>
      </c>
      <c r="K14" s="289">
        <f>'B19'!D24</f>
        <v>0</v>
      </c>
      <c r="L14" s="289">
        <f>+K14*'B19'!D34</f>
        <v>0</v>
      </c>
      <c r="M14" s="289">
        <f>+K14*'B19'!D35</f>
        <v>0</v>
      </c>
    </row>
    <row r="15" spans="1:35" ht="15">
      <c r="A15" s="287">
        <v>3</v>
      </c>
      <c r="B15" s="287" t="s">
        <v>521</v>
      </c>
      <c r="C15" s="308" t="s">
        <v>376</v>
      </c>
      <c r="D15" s="305">
        <f>+INPUT!C157</f>
        <v>9188683</v>
      </c>
      <c r="E15" s="303" t="s">
        <v>385</v>
      </c>
      <c r="F15" s="289">
        <f>(INPUT!C157*'B6'!$F$20)</f>
        <v>3945372.6935798805</v>
      </c>
      <c r="G15" s="290"/>
      <c r="H15" s="287"/>
      <c r="I15" s="304"/>
      <c r="J15" s="304"/>
      <c r="K15" s="309"/>
      <c r="L15" s="309"/>
      <c r="M15" s="309"/>
    </row>
    <row r="16" spans="1:35" ht="15">
      <c r="A16" s="307"/>
      <c r="B16" s="289"/>
      <c r="C16" s="308"/>
      <c r="D16" s="289"/>
      <c r="E16" s="308"/>
      <c r="F16" s="289"/>
      <c r="G16" s="290"/>
      <c r="H16" s="287" t="s">
        <v>381</v>
      </c>
      <c r="I16" s="287" t="s">
        <v>153</v>
      </c>
      <c r="J16" s="287" t="s">
        <v>518</v>
      </c>
      <c r="K16" s="305">
        <f>+K12+K14</f>
        <v>61791799.692474701</v>
      </c>
      <c r="L16" s="305">
        <f>+L12+L14</f>
        <v>57787553.77742669</v>
      </c>
      <c r="M16" s="305">
        <f>+M12+M14</f>
        <v>4004245.9150480377</v>
      </c>
    </row>
    <row r="17" spans="1:13" ht="15">
      <c r="A17" s="287">
        <v>4</v>
      </c>
      <c r="B17" s="287" t="s">
        <v>69</v>
      </c>
      <c r="C17" s="308" t="s">
        <v>376</v>
      </c>
      <c r="D17" s="305">
        <f>INPUT!C156</f>
        <v>52253993.609999999</v>
      </c>
      <c r="E17" s="310" t="s">
        <v>272</v>
      </c>
      <c r="F17" s="289">
        <f>+D17</f>
        <v>52253993.609999999</v>
      </c>
      <c r="G17" s="290"/>
      <c r="H17" s="290"/>
      <c r="I17" s="290"/>
      <c r="J17" s="290"/>
      <c r="K17" s="290"/>
      <c r="L17" s="290"/>
      <c r="M17" s="290"/>
    </row>
    <row r="18" spans="1:13" ht="15">
      <c r="A18" s="290"/>
      <c r="B18" s="290"/>
      <c r="C18" s="290"/>
      <c r="D18" s="290"/>
      <c r="E18" s="290"/>
      <c r="F18" s="290"/>
      <c r="G18" s="290"/>
      <c r="H18" s="289"/>
      <c r="I18" s="289"/>
      <c r="J18" s="289"/>
      <c r="K18" s="289"/>
      <c r="L18" s="289"/>
      <c r="M18" s="289"/>
    </row>
    <row r="19" spans="1:13" ht="15">
      <c r="A19" s="287">
        <v>5</v>
      </c>
      <c r="B19" s="287" t="s">
        <v>778</v>
      </c>
      <c r="C19" s="308" t="s">
        <v>376</v>
      </c>
      <c r="D19" s="289">
        <f>INPUT!C158</f>
        <v>15507</v>
      </c>
      <c r="E19" s="308" t="s">
        <v>392</v>
      </c>
      <c r="F19" s="289">
        <v>0</v>
      </c>
      <c r="G19" s="290"/>
      <c r="H19" s="304" t="s">
        <v>662</v>
      </c>
      <c r="I19" s="290"/>
      <c r="J19" s="290"/>
      <c r="K19" s="290"/>
      <c r="L19" s="290"/>
      <c r="M19" s="290"/>
    </row>
    <row r="20" spans="1:13" ht="15">
      <c r="A20" s="307"/>
      <c r="B20" s="287"/>
      <c r="C20" s="303"/>
      <c r="D20" s="305"/>
      <c r="E20" s="289"/>
      <c r="F20" s="305"/>
      <c r="G20" s="290"/>
      <c r="H20" s="290"/>
      <c r="I20" s="290"/>
      <c r="J20" s="290"/>
      <c r="K20" s="290"/>
      <c r="L20" s="290"/>
      <c r="M20" s="290"/>
    </row>
    <row r="21" spans="1:13" ht="15">
      <c r="A21" s="307">
        <v>6</v>
      </c>
      <c r="B21" s="289" t="s">
        <v>179</v>
      </c>
      <c r="C21" s="311" t="s">
        <v>746</v>
      </c>
      <c r="D21" s="289">
        <f>SUM(D11:D19)</f>
        <v>150550843.61000001</v>
      </c>
      <c r="E21" s="289"/>
      <c r="F21" s="289">
        <f>SUM(F11:F19)</f>
        <v>95067576.474278137</v>
      </c>
      <c r="G21" s="290"/>
      <c r="H21" s="290"/>
      <c r="I21" s="290"/>
      <c r="J21" s="290"/>
      <c r="K21" s="290"/>
      <c r="L21" s="290"/>
      <c r="M21" s="290"/>
    </row>
    <row r="22" spans="1:13" ht="15">
      <c r="A22" s="287"/>
      <c r="B22" s="287"/>
      <c r="C22" s="303"/>
      <c r="D22" s="305"/>
      <c r="E22" s="289"/>
      <c r="F22" s="305"/>
      <c r="G22" s="290"/>
      <c r="H22" s="290"/>
      <c r="I22" s="290"/>
      <c r="J22" s="290"/>
      <c r="K22" s="290"/>
      <c r="L22" s="290"/>
      <c r="M22" s="290"/>
    </row>
    <row r="23" spans="1:13" ht="15">
      <c r="A23" s="289"/>
      <c r="B23" s="289"/>
      <c r="C23" s="289"/>
      <c r="D23" s="289"/>
      <c r="E23" s="289"/>
      <c r="F23" s="289"/>
      <c r="G23" s="290"/>
      <c r="H23" s="290"/>
      <c r="I23" s="290"/>
      <c r="J23" s="290"/>
      <c r="K23" s="290"/>
      <c r="L23" s="290"/>
      <c r="M23" s="290"/>
    </row>
    <row r="24" spans="1:13" ht="15">
      <c r="A24" s="289" t="s">
        <v>398</v>
      </c>
      <c r="B24" s="289" t="s">
        <v>802</v>
      </c>
      <c r="C24" s="289"/>
      <c r="D24" s="289"/>
      <c r="E24" s="289"/>
      <c r="F24" s="289"/>
      <c r="G24" s="290"/>
      <c r="H24" s="290"/>
      <c r="I24" s="290"/>
      <c r="J24" s="290"/>
      <c r="K24" s="290"/>
      <c r="L24" s="290"/>
      <c r="M24" s="290"/>
    </row>
    <row r="25" spans="1:13" ht="15">
      <c r="A25" s="287"/>
      <c r="B25" s="287"/>
      <c r="C25" s="289"/>
      <c r="D25" s="289"/>
      <c r="E25" s="289"/>
      <c r="F25" s="289"/>
      <c r="G25" s="290"/>
      <c r="H25" s="290"/>
      <c r="I25" s="290"/>
      <c r="J25" s="290"/>
      <c r="K25" s="290"/>
      <c r="L25" s="290"/>
      <c r="M25" s="290"/>
    </row>
    <row r="26" spans="1:13" ht="15">
      <c r="A26" s="289" t="s">
        <v>400</v>
      </c>
      <c r="B26" s="304" t="s">
        <v>594</v>
      </c>
      <c r="C26" s="289"/>
      <c r="D26" s="289"/>
      <c r="E26" s="289"/>
      <c r="F26" s="289"/>
      <c r="G26" s="290"/>
      <c r="H26" s="290"/>
      <c r="I26" s="290"/>
      <c r="J26" s="290"/>
      <c r="K26" s="290"/>
      <c r="L26" s="290"/>
      <c r="M26" s="290"/>
    </row>
    <row r="27" spans="1:13" ht="15">
      <c r="A27" s="289"/>
      <c r="B27" s="312" t="s">
        <v>660</v>
      </c>
      <c r="C27" s="289"/>
      <c r="D27" s="289"/>
      <c r="E27" s="289"/>
      <c r="F27" s="289"/>
      <c r="G27" s="290"/>
      <c r="H27" s="290"/>
      <c r="I27" s="290"/>
      <c r="J27" s="290"/>
      <c r="K27" s="290"/>
      <c r="L27" s="290"/>
      <c r="M27" s="290"/>
    </row>
    <row r="28" spans="1:13" ht="15">
      <c r="A28" s="289"/>
      <c r="B28" s="312" t="s">
        <v>661</v>
      </c>
      <c r="C28" s="289"/>
      <c r="D28" s="289"/>
      <c r="E28" s="289"/>
      <c r="F28" s="289"/>
      <c r="G28" s="290"/>
      <c r="H28" s="290"/>
      <c r="I28" s="290"/>
      <c r="J28" s="290"/>
      <c r="K28" s="290"/>
      <c r="L28" s="290"/>
      <c r="M28" s="290"/>
    </row>
    <row r="29" spans="1:13" ht="15">
      <c r="A29" s="289"/>
      <c r="B29" s="304"/>
      <c r="C29" s="313" t="s">
        <v>217</v>
      </c>
      <c r="D29" s="313" t="s">
        <v>218</v>
      </c>
      <c r="E29" s="289"/>
      <c r="F29" s="289"/>
      <c r="G29" s="290"/>
      <c r="H29" s="290"/>
      <c r="I29" s="290"/>
      <c r="J29" s="290"/>
      <c r="K29" s="290"/>
      <c r="L29" s="290"/>
      <c r="M29" s="290"/>
    </row>
    <row r="30" spans="1:13" ht="15">
      <c r="A30" s="289"/>
      <c r="B30" s="304" t="s">
        <v>223</v>
      </c>
      <c r="C30" s="289">
        <f>'B7'!F50</f>
        <v>144792391</v>
      </c>
      <c r="D30" s="314">
        <v>1</v>
      </c>
      <c r="E30" s="289"/>
      <c r="F30" s="289"/>
      <c r="G30" s="290"/>
      <c r="H30" s="290"/>
      <c r="I30" s="290"/>
      <c r="J30" s="290"/>
      <c r="K30" s="290"/>
      <c r="L30" s="290"/>
      <c r="M30" s="290"/>
    </row>
    <row r="31" spans="1:13" ht="15">
      <c r="A31" s="290"/>
      <c r="B31" s="289" t="s">
        <v>229</v>
      </c>
      <c r="C31" s="289">
        <f>'B7'!F52</f>
        <v>73416086</v>
      </c>
      <c r="D31" s="315">
        <f>'B7'!F53</f>
        <v>0.50704381279999999</v>
      </c>
      <c r="E31" s="289"/>
      <c r="F31" s="289"/>
      <c r="G31" s="290"/>
      <c r="H31" s="290"/>
      <c r="I31" s="290"/>
      <c r="J31" s="290"/>
      <c r="K31" s="290"/>
      <c r="L31" s="290"/>
      <c r="M31" s="290"/>
    </row>
    <row r="32" spans="1:13" ht="15">
      <c r="A32" s="289"/>
      <c r="B32" s="287" t="s">
        <v>272</v>
      </c>
      <c r="C32" s="305" t="s">
        <v>272</v>
      </c>
      <c r="D32" s="316" t="s">
        <v>272</v>
      </c>
      <c r="E32" s="289"/>
      <c r="F32" s="289"/>
      <c r="G32" s="290"/>
      <c r="H32" s="290"/>
      <c r="I32" s="290"/>
      <c r="J32" s="290"/>
      <c r="K32" s="290"/>
      <c r="L32" s="290"/>
      <c r="M32" s="290"/>
    </row>
    <row r="33" spans="1:13" ht="15">
      <c r="A33" s="290"/>
      <c r="B33" s="290"/>
      <c r="C33" s="305"/>
      <c r="D33" s="317"/>
      <c r="E33" s="289"/>
      <c r="F33" s="289"/>
      <c r="G33" s="290"/>
      <c r="H33" s="290"/>
      <c r="I33" s="290"/>
      <c r="J33" s="290"/>
      <c r="K33" s="290"/>
      <c r="L33" s="290"/>
      <c r="M33" s="290"/>
    </row>
    <row r="34" spans="1:13" ht="15">
      <c r="A34" s="289" t="s">
        <v>402</v>
      </c>
      <c r="B34" s="287" t="s">
        <v>585</v>
      </c>
      <c r="C34" s="289"/>
      <c r="D34" s="289"/>
      <c r="E34" s="289"/>
      <c r="F34" s="289"/>
      <c r="G34" s="290"/>
      <c r="H34" s="290"/>
      <c r="I34" s="290"/>
      <c r="J34" s="290"/>
      <c r="K34" s="290"/>
      <c r="L34" s="290"/>
      <c r="M34" s="290"/>
    </row>
    <row r="35" spans="1:13" ht="15">
      <c r="A35" s="289"/>
      <c r="B35" s="312" t="s">
        <v>804</v>
      </c>
      <c r="C35" s="289"/>
      <c r="D35" s="289"/>
      <c r="E35" s="289"/>
      <c r="F35" s="289"/>
      <c r="G35" s="290"/>
      <c r="H35" s="290"/>
      <c r="I35" s="290"/>
      <c r="J35" s="290"/>
      <c r="K35" s="290"/>
      <c r="L35" s="290"/>
      <c r="M35" s="290"/>
    </row>
    <row r="36" spans="1:13" ht="15">
      <c r="A36" s="287"/>
      <c r="B36" s="287"/>
      <c r="C36" s="289"/>
      <c r="D36" s="289"/>
      <c r="E36" s="289"/>
      <c r="F36" s="289"/>
      <c r="G36" s="290"/>
      <c r="H36" s="290"/>
      <c r="I36" s="290"/>
      <c r="J36" s="290"/>
      <c r="K36" s="290"/>
      <c r="L36" s="290"/>
      <c r="M36" s="290"/>
    </row>
    <row r="37" spans="1:13" ht="15">
      <c r="A37" s="289" t="s">
        <v>404</v>
      </c>
      <c r="B37" s="304" t="s">
        <v>586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 ht="15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15">
      <c r="A39" s="289" t="s">
        <v>272</v>
      </c>
      <c r="B39" s="287" t="s">
        <v>272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I37"/>
  <sheetViews>
    <sheetView view="pageBreakPreview" zoomScaleNormal="100" zoomScaleSheetLayoutView="100" workbookViewId="0">
      <selection activeCell="D13" sqref="D13"/>
    </sheetView>
  </sheetViews>
  <sheetFormatPr defaultColWidth="9" defaultRowHeight="12"/>
  <cols>
    <col min="1" max="1" width="5.25" style="3" customWidth="1"/>
    <col min="2" max="2" width="39.25" style="3" bestFit="1" customWidth="1"/>
    <col min="3" max="3" width="22.625" style="3" customWidth="1"/>
    <col min="4" max="4" width="21.875" style="3" customWidth="1"/>
    <col min="5" max="5" width="9" style="3"/>
    <col min="6" max="6" width="9.625" style="3" bestFit="1" customWidth="1"/>
    <col min="7" max="7" width="11.875" style="3" bestFit="1" customWidth="1"/>
    <col min="8" max="8" width="9.625" style="3" bestFit="1" customWidth="1"/>
    <col min="9" max="16384" width="9" style="3"/>
  </cols>
  <sheetData>
    <row r="1" spans="1:35" ht="12.75">
      <c r="A1" s="2" t="s">
        <v>51</v>
      </c>
      <c r="B1"/>
      <c r="D1" s="41" t="s">
        <v>972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12/31/2021 (actuals) for 2022</v>
      </c>
      <c r="D2" s="24" t="s">
        <v>52</v>
      </c>
    </row>
    <row r="4" spans="1:35">
      <c r="A4" s="19" t="s">
        <v>65</v>
      </c>
      <c r="C4" s="19" t="s">
        <v>1066</v>
      </c>
      <c r="D4" s="274" t="s">
        <v>1069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.25">
      <c r="A6" s="2" t="s">
        <v>373</v>
      </c>
      <c r="B6" s="95" t="s">
        <v>1085</v>
      </c>
      <c r="C6" s="73"/>
      <c r="D6" s="280">
        <f>1-(((1-D16)*(1-D15))/(1-D16*D15*D17))</f>
        <v>0.23836100000000005</v>
      </c>
      <c r="F6" s="74"/>
    </row>
    <row r="7" spans="1:35" ht="14.25">
      <c r="A7" s="96"/>
      <c r="D7" s="280"/>
    </row>
    <row r="8" spans="1:35" ht="14.25">
      <c r="A8" s="97" t="s">
        <v>275</v>
      </c>
      <c r="B8" s="98" t="s">
        <v>502</v>
      </c>
      <c r="C8" s="73"/>
      <c r="D8" s="280">
        <f>(D6/(1-D6))*(1-(D18/D19))</f>
        <v>0.21184933758015853</v>
      </c>
      <c r="F8" s="74"/>
    </row>
    <row r="9" spans="1:35" ht="14.25">
      <c r="A9" s="97"/>
      <c r="C9" s="229" t="s">
        <v>272</v>
      </c>
      <c r="D9" s="281"/>
    </row>
    <row r="10" spans="1:35" ht="14.25">
      <c r="A10" s="97" t="s">
        <v>276</v>
      </c>
      <c r="B10" s="98" t="s">
        <v>1070</v>
      </c>
      <c r="C10" s="73"/>
      <c r="D10" s="282"/>
      <c r="F10" s="73"/>
    </row>
    <row r="11" spans="1:35" ht="14.25">
      <c r="A11" s="97"/>
      <c r="B11" s="98" t="s">
        <v>1087</v>
      </c>
      <c r="D11" s="281"/>
      <c r="F11" s="73"/>
    </row>
    <row r="12" spans="1:35" ht="14.25">
      <c r="A12" s="97"/>
      <c r="B12" s="98"/>
      <c r="D12" s="281"/>
      <c r="F12" s="73"/>
    </row>
    <row r="13" spans="1:35" ht="14.25">
      <c r="A13" s="97" t="s">
        <v>278</v>
      </c>
      <c r="B13" s="98" t="s">
        <v>503</v>
      </c>
      <c r="D13" s="283">
        <f>1/(1-D6)</f>
        <v>1.3129579761540573</v>
      </c>
      <c r="F13" s="73"/>
    </row>
    <row r="14" spans="1:35" ht="14.25">
      <c r="A14" s="97"/>
      <c r="C14" s="73"/>
      <c r="D14" s="282"/>
      <c r="E14" s="73"/>
      <c r="F14" s="73"/>
    </row>
    <row r="15" spans="1:35" ht="14.25">
      <c r="A15" s="97" t="s">
        <v>269</v>
      </c>
      <c r="B15" s="99" t="s">
        <v>504</v>
      </c>
      <c r="C15" s="3" t="s">
        <v>505</v>
      </c>
      <c r="D15" s="280">
        <f>INPUT!C160</f>
        <v>0.21</v>
      </c>
      <c r="F15" s="73"/>
    </row>
    <row r="16" spans="1:35" ht="14.25">
      <c r="A16" s="97" t="s">
        <v>270</v>
      </c>
      <c r="B16" s="99" t="s">
        <v>506</v>
      </c>
      <c r="C16" s="3" t="s">
        <v>507</v>
      </c>
      <c r="D16" s="280">
        <f>INPUT!C161</f>
        <v>3.5900000000000001E-2</v>
      </c>
      <c r="F16" s="73"/>
    </row>
    <row r="17" spans="1:8" ht="14.25">
      <c r="A17" s="97" t="s">
        <v>271</v>
      </c>
      <c r="B17" s="102" t="s">
        <v>648</v>
      </c>
      <c r="C17" s="3" t="s">
        <v>1086</v>
      </c>
      <c r="D17" s="280">
        <f>INPUT!C162</f>
        <v>0</v>
      </c>
      <c r="F17" s="73"/>
    </row>
    <row r="18" spans="1:8" ht="14.25">
      <c r="A18" s="97" t="s">
        <v>282</v>
      </c>
      <c r="B18" s="99" t="s">
        <v>508</v>
      </c>
      <c r="C18" s="3" t="s">
        <v>509</v>
      </c>
      <c r="D18" s="280">
        <f>'B11-B14'!H11</f>
        <v>2.3898844999999998E-2</v>
      </c>
      <c r="E18" s="74"/>
      <c r="F18" s="74"/>
    </row>
    <row r="19" spans="1:8" ht="14.25">
      <c r="A19" s="97" t="s">
        <v>284</v>
      </c>
      <c r="B19" s="99" t="s">
        <v>510</v>
      </c>
      <c r="C19" s="3" t="s">
        <v>511</v>
      </c>
      <c r="D19" s="280">
        <f>'B11-B14'!H17</f>
        <v>7.3973245699999995E-2</v>
      </c>
      <c r="F19" s="73"/>
    </row>
    <row r="20" spans="1:8" ht="14.25">
      <c r="A20" s="97"/>
      <c r="D20" s="280"/>
    </row>
    <row r="21" spans="1:8" ht="14.25">
      <c r="A21" s="97" t="s">
        <v>391</v>
      </c>
      <c r="B21" s="98" t="s">
        <v>512</v>
      </c>
      <c r="C21" s="101" t="s">
        <v>558</v>
      </c>
      <c r="D21" s="280">
        <f>INPUT!C163</f>
        <v>0</v>
      </c>
    </row>
    <row r="22" spans="1:8" ht="14.25">
      <c r="A22" s="97" t="s">
        <v>393</v>
      </c>
      <c r="B22" s="98" t="s">
        <v>600</v>
      </c>
      <c r="C22" s="102" t="s">
        <v>747</v>
      </c>
      <c r="D22" s="280">
        <f>+D33</f>
        <v>0.42937303346303102</v>
      </c>
    </row>
    <row r="23" spans="1:8" ht="14.25">
      <c r="A23" s="97" t="s">
        <v>394</v>
      </c>
      <c r="B23" s="73" t="s">
        <v>513</v>
      </c>
      <c r="C23" s="100" t="s">
        <v>803</v>
      </c>
      <c r="D23" s="280">
        <f>+D21*D22</f>
        <v>0</v>
      </c>
    </row>
    <row r="24" spans="1:8" ht="14.25">
      <c r="A24" s="97" t="s">
        <v>395</v>
      </c>
      <c r="B24" s="73" t="s">
        <v>514</v>
      </c>
      <c r="C24" s="102" t="s">
        <v>559</v>
      </c>
      <c r="D24" s="280">
        <f>+D23*D13</f>
        <v>0</v>
      </c>
    </row>
    <row r="25" spans="1:8" ht="14.25">
      <c r="D25" s="281"/>
    </row>
    <row r="26" spans="1:8" ht="14.25">
      <c r="D26" s="281"/>
    </row>
    <row r="27" spans="1:8" ht="14.25">
      <c r="A27" s="97" t="s">
        <v>399</v>
      </c>
      <c r="B27" s="139" t="s">
        <v>601</v>
      </c>
      <c r="D27" s="286" t="s">
        <v>77</v>
      </c>
      <c r="E27" s="4"/>
    </row>
    <row r="28" spans="1:8" ht="14.25">
      <c r="A28" s="97" t="s">
        <v>401</v>
      </c>
      <c r="B28" s="4" t="s">
        <v>515</v>
      </c>
      <c r="C28" s="32" t="s">
        <v>1059</v>
      </c>
      <c r="D28" s="284">
        <f>'B6'!D16</f>
        <v>16194335798</v>
      </c>
      <c r="E28" s="14"/>
      <c r="F28" s="75"/>
    </row>
    <row r="29" spans="1:8" ht="14.25">
      <c r="A29" s="97" t="s">
        <v>403</v>
      </c>
      <c r="B29" s="3" t="s">
        <v>516</v>
      </c>
      <c r="C29" s="32" t="s">
        <v>1071</v>
      </c>
      <c r="D29" s="281">
        <f>'B6'!F16</f>
        <v>6953411086.5062151</v>
      </c>
      <c r="E29" s="14"/>
      <c r="F29" s="75"/>
      <c r="G29" s="75"/>
    </row>
    <row r="30" spans="1:8" ht="14.25">
      <c r="A30" s="97" t="s">
        <v>405</v>
      </c>
      <c r="B30" s="3" t="s">
        <v>602</v>
      </c>
      <c r="C30" s="32" t="s">
        <v>748</v>
      </c>
      <c r="D30" s="281">
        <f>'B6'!G16</f>
        <v>6848426443.817543</v>
      </c>
      <c r="E30" s="14"/>
      <c r="F30" s="75"/>
      <c r="H30" s="75"/>
    </row>
    <row r="31" spans="1:8" ht="14.25">
      <c r="A31" s="200" t="s">
        <v>406</v>
      </c>
      <c r="B31" s="3" t="s">
        <v>603</v>
      </c>
      <c r="C31" s="32" t="s">
        <v>749</v>
      </c>
      <c r="D31" s="281">
        <f>'B6'!H16</f>
        <v>104984642.68867153</v>
      </c>
      <c r="E31" s="76"/>
      <c r="F31" s="75"/>
    </row>
    <row r="32" spans="1:8" ht="14.25">
      <c r="C32" s="32"/>
      <c r="D32" s="281"/>
      <c r="F32" s="75"/>
      <c r="G32" s="75"/>
      <c r="H32" s="75"/>
    </row>
    <row r="33" spans="1:8" ht="14.25">
      <c r="A33" s="97" t="s">
        <v>407</v>
      </c>
      <c r="B33" s="3" t="s">
        <v>604</v>
      </c>
      <c r="C33" s="32" t="s">
        <v>859</v>
      </c>
      <c r="D33" s="285">
        <f>+D29/D28</f>
        <v>0.42937303346303102</v>
      </c>
      <c r="F33" s="75"/>
    </row>
    <row r="34" spans="1:8" ht="14.25">
      <c r="A34" s="97" t="s">
        <v>408</v>
      </c>
      <c r="B34" s="3" t="s">
        <v>605</v>
      </c>
      <c r="C34" s="32" t="s">
        <v>860</v>
      </c>
      <c r="D34" s="285">
        <f>+D30/D29</f>
        <v>0.98490170631614093</v>
      </c>
      <c r="F34" s="75"/>
      <c r="H34" s="75"/>
    </row>
    <row r="35" spans="1:8" ht="14.25">
      <c r="A35" s="97" t="s">
        <v>409</v>
      </c>
      <c r="B35" s="3" t="s">
        <v>606</v>
      </c>
      <c r="C35" s="32" t="s">
        <v>607</v>
      </c>
      <c r="D35" s="285">
        <f>+D31/D29</f>
        <v>1.5098293683858942E-2</v>
      </c>
      <c r="F35" s="75"/>
    </row>
    <row r="36" spans="1:8">
      <c r="A36" s="97"/>
      <c r="C36" s="32"/>
      <c r="D36" s="91"/>
      <c r="F36" s="75"/>
    </row>
    <row r="37" spans="1:8">
      <c r="A37" s="3" t="s">
        <v>858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3"/>
  <sheetViews>
    <sheetView view="pageBreakPreview" topLeftCell="A10" zoomScale="115" zoomScaleNormal="100" zoomScaleSheetLayoutView="115" workbookViewId="0">
      <selection activeCell="C6" sqref="C6"/>
    </sheetView>
  </sheetViews>
  <sheetFormatPr defaultRowHeight="12"/>
  <sheetData>
    <row r="1" spans="1:9" ht="12.75">
      <c r="A1" s="2" t="s">
        <v>272</v>
      </c>
      <c r="C1" s="3"/>
      <c r="I1" s="41" t="s">
        <v>972</v>
      </c>
    </row>
    <row r="2" spans="1:9" ht="12.75">
      <c r="A2" s="30" t="s">
        <v>272</v>
      </c>
      <c r="B2" s="3" t="s">
        <v>272</v>
      </c>
      <c r="C2" s="331" t="s">
        <v>814</v>
      </c>
      <c r="D2" s="339"/>
      <c r="E2" s="339"/>
      <c r="F2" s="339"/>
      <c r="G2" s="339"/>
      <c r="I2" s="24" t="s">
        <v>973</v>
      </c>
    </row>
    <row r="3" spans="1:9" ht="12.75">
      <c r="C3" s="340" t="s">
        <v>811</v>
      </c>
      <c r="D3" s="340"/>
      <c r="E3" s="340"/>
      <c r="F3" s="340"/>
      <c r="G3" s="340"/>
      <c r="I3" s="24" t="s">
        <v>974</v>
      </c>
    </row>
    <row r="4" spans="1:9" ht="12.75">
      <c r="C4" s="19" t="s">
        <v>272</v>
      </c>
      <c r="D4" s="19" t="s">
        <v>1028</v>
      </c>
      <c r="E4" s="19"/>
      <c r="F4" s="19"/>
      <c r="G4" s="19"/>
      <c r="I4" s="24"/>
    </row>
    <row r="5" spans="1:9" ht="12.75">
      <c r="C5" s="338" t="s">
        <v>1169</v>
      </c>
      <c r="D5" s="339"/>
      <c r="E5" s="339"/>
      <c r="F5" s="339"/>
      <c r="G5" s="339"/>
    </row>
    <row r="9" spans="1:9" ht="12.75">
      <c r="A9" s="220" t="s">
        <v>1027</v>
      </c>
      <c r="B9" s="220"/>
      <c r="C9" s="220"/>
      <c r="D9" s="220"/>
      <c r="E9" s="220"/>
      <c r="F9" s="220"/>
      <c r="G9" s="220"/>
      <c r="H9" s="220"/>
    </row>
    <row r="10" spans="1:9" ht="12.75">
      <c r="A10" s="220" t="s">
        <v>1026</v>
      </c>
      <c r="B10" s="220"/>
      <c r="C10" s="220"/>
      <c r="D10" s="220"/>
      <c r="E10" s="220"/>
      <c r="F10" s="220"/>
      <c r="G10" s="220"/>
      <c r="H10" s="220"/>
    </row>
    <row r="11" spans="1:9" ht="12.75">
      <c r="A11" s="220"/>
      <c r="B11" s="220"/>
      <c r="C11" s="220"/>
      <c r="D11" s="220"/>
      <c r="E11" s="220"/>
      <c r="F11" s="220"/>
      <c r="G11" s="220"/>
      <c r="H11" s="220"/>
    </row>
    <row r="12" spans="1:9" ht="12.75">
      <c r="A12" s="220"/>
      <c r="B12" s="220"/>
      <c r="C12" s="220"/>
      <c r="D12" s="220"/>
      <c r="E12" s="220"/>
      <c r="F12" s="220"/>
      <c r="G12" s="220"/>
      <c r="H12" s="220"/>
    </row>
    <row r="13" spans="1:9" ht="12.75">
      <c r="A13" s="220" t="s">
        <v>975</v>
      </c>
      <c r="B13" s="220"/>
      <c r="C13" s="220"/>
      <c r="D13" s="220"/>
      <c r="E13" s="220"/>
      <c r="F13" s="220"/>
      <c r="G13" s="220"/>
      <c r="H13" s="220"/>
    </row>
    <row r="14" spans="1:9" ht="12.75">
      <c r="A14" s="220"/>
      <c r="B14" s="220"/>
      <c r="C14" s="220"/>
      <c r="D14" s="220"/>
      <c r="E14" s="220"/>
      <c r="F14" s="220"/>
      <c r="G14" s="220"/>
      <c r="H14" s="220"/>
    </row>
    <row r="15" spans="1:9" ht="12.75">
      <c r="A15" s="220" t="s">
        <v>976</v>
      </c>
      <c r="B15" s="220"/>
      <c r="C15" s="220"/>
      <c r="D15" s="220"/>
      <c r="E15" s="220"/>
      <c r="F15" s="220"/>
      <c r="G15" s="220"/>
      <c r="H15" s="220"/>
    </row>
    <row r="16" spans="1:9" ht="12.75">
      <c r="A16" s="220"/>
      <c r="B16" s="220"/>
      <c r="C16" s="220"/>
      <c r="D16" s="220"/>
      <c r="E16" s="220"/>
      <c r="F16" s="220"/>
      <c r="G16" s="220"/>
      <c r="H16" s="220"/>
    </row>
    <row r="17" spans="1:8" ht="12.75">
      <c r="A17" s="220"/>
      <c r="B17" s="221">
        <v>311</v>
      </c>
      <c r="C17" s="220" t="s">
        <v>977</v>
      </c>
      <c r="D17" s="220"/>
      <c r="E17" s="220"/>
      <c r="F17" s="220"/>
      <c r="G17" s="222">
        <v>2.4400000000000002E-2</v>
      </c>
      <c r="H17" s="220"/>
    </row>
    <row r="18" spans="1:8" ht="12.75">
      <c r="A18" s="220"/>
      <c r="B18" s="221">
        <v>312</v>
      </c>
      <c r="C18" s="220" t="s">
        <v>978</v>
      </c>
      <c r="D18" s="220"/>
      <c r="E18" s="220"/>
      <c r="F18" s="220"/>
      <c r="G18" s="222">
        <v>2.75E-2</v>
      </c>
      <c r="H18" s="220"/>
    </row>
    <row r="19" spans="1:8" ht="12.75">
      <c r="A19" s="220"/>
      <c r="B19" s="221">
        <v>312</v>
      </c>
      <c r="C19" s="220" t="s">
        <v>1127</v>
      </c>
      <c r="D19" s="220"/>
      <c r="E19" s="220"/>
      <c r="F19" s="220"/>
      <c r="G19" s="222">
        <v>6.9900000000000004E-2</v>
      </c>
      <c r="H19" s="220"/>
    </row>
    <row r="20" spans="1:8" ht="12.75">
      <c r="A20" s="220"/>
      <c r="B20" s="221">
        <v>314</v>
      </c>
      <c r="C20" s="220" t="s">
        <v>979</v>
      </c>
      <c r="D20" s="220"/>
      <c r="E20" s="220"/>
      <c r="F20" s="220"/>
      <c r="G20" s="222">
        <v>2.2800000000000001E-2</v>
      </c>
      <c r="H20" s="220"/>
    </row>
    <row r="21" spans="1:8" ht="12.75">
      <c r="A21" s="220"/>
      <c r="B21" s="221">
        <v>315</v>
      </c>
      <c r="C21" s="220" t="s">
        <v>980</v>
      </c>
      <c r="D21" s="220"/>
      <c r="E21" s="220"/>
      <c r="F21" s="220"/>
      <c r="G21" s="222">
        <v>1.7999999999999999E-2</v>
      </c>
      <c r="H21" s="220"/>
    </row>
    <row r="22" spans="1:8" ht="12.75">
      <c r="A22" s="220"/>
      <c r="B22" s="221">
        <v>316</v>
      </c>
      <c r="C22" s="220" t="s">
        <v>981</v>
      </c>
      <c r="D22" s="220"/>
      <c r="E22" s="220"/>
      <c r="F22" s="220"/>
      <c r="G22" s="222">
        <v>2.2100000000000002E-2</v>
      </c>
      <c r="H22" s="220"/>
    </row>
    <row r="23" spans="1:8" ht="12.75">
      <c r="A23" s="220"/>
      <c r="B23" s="221"/>
      <c r="C23" s="220"/>
      <c r="D23" s="220"/>
      <c r="E23" s="220"/>
      <c r="F23" s="220"/>
      <c r="G23" s="220"/>
      <c r="H23" s="220"/>
    </row>
    <row r="24" spans="1:8" ht="12.75">
      <c r="A24" s="220"/>
      <c r="B24" s="221"/>
      <c r="C24" s="220"/>
      <c r="D24" s="220"/>
      <c r="E24" s="220"/>
      <c r="F24" s="220"/>
      <c r="G24" s="220"/>
      <c r="H24" s="220"/>
    </row>
    <row r="25" spans="1:8" ht="12.75">
      <c r="A25" s="220" t="s">
        <v>982</v>
      </c>
      <c r="B25" s="221"/>
      <c r="C25" s="220"/>
      <c r="D25" s="220"/>
      <c r="E25" s="220"/>
      <c r="F25" s="220"/>
      <c r="G25" s="220"/>
      <c r="H25" s="220"/>
    </row>
    <row r="26" spans="1:8" ht="12.75">
      <c r="A26" s="220"/>
      <c r="B26" s="221"/>
      <c r="C26" s="220"/>
      <c r="D26" s="220"/>
      <c r="E26" s="220"/>
      <c r="F26" s="220"/>
      <c r="G26" s="220"/>
      <c r="H26" s="220"/>
    </row>
    <row r="27" spans="1:8" ht="12.75">
      <c r="A27" s="220"/>
      <c r="B27" s="221">
        <v>311</v>
      </c>
      <c r="C27" s="220" t="s">
        <v>977</v>
      </c>
      <c r="D27" s="220"/>
      <c r="E27" s="220"/>
      <c r="F27" s="220"/>
      <c r="G27" s="233" t="s">
        <v>1128</v>
      </c>
      <c r="H27" s="220"/>
    </row>
    <row r="28" spans="1:8" ht="12.75">
      <c r="A28" s="220"/>
      <c r="B28" s="221">
        <v>312</v>
      </c>
      <c r="C28" s="220" t="s">
        <v>978</v>
      </c>
      <c r="D28" s="220"/>
      <c r="E28" s="220"/>
      <c r="F28" s="220"/>
      <c r="G28" s="233" t="s">
        <v>1128</v>
      </c>
      <c r="H28" s="220"/>
    </row>
    <row r="29" spans="1:8" ht="12.75">
      <c r="A29" s="220"/>
      <c r="B29" s="221">
        <v>314</v>
      </c>
      <c r="C29" s="220" t="s">
        <v>979</v>
      </c>
      <c r="D29" s="220"/>
      <c r="E29" s="220"/>
      <c r="F29" s="220"/>
      <c r="G29" s="233" t="s">
        <v>1128</v>
      </c>
      <c r="H29" s="220"/>
    </row>
    <row r="30" spans="1:8" ht="12.75">
      <c r="A30" s="220"/>
      <c r="B30" s="221">
        <v>315</v>
      </c>
      <c r="C30" s="220" t="s">
        <v>980</v>
      </c>
      <c r="D30" s="220"/>
      <c r="E30" s="220"/>
      <c r="F30" s="220"/>
      <c r="G30" s="233" t="s">
        <v>1128</v>
      </c>
      <c r="H30" s="220"/>
    </row>
    <row r="31" spans="1:8" ht="12.75">
      <c r="A31" s="220"/>
      <c r="B31" s="221">
        <v>316</v>
      </c>
      <c r="C31" s="220" t="s">
        <v>981</v>
      </c>
      <c r="D31" s="220"/>
      <c r="E31" s="220"/>
      <c r="F31" s="220"/>
      <c r="G31" s="233" t="s">
        <v>1128</v>
      </c>
      <c r="H31" s="220"/>
    </row>
    <row r="32" spans="1:8" ht="12.75">
      <c r="A32" s="220"/>
      <c r="B32" s="221"/>
      <c r="C32" s="220"/>
      <c r="D32" s="220"/>
      <c r="E32" s="220"/>
      <c r="F32" s="220"/>
      <c r="G32" s="220"/>
      <c r="H32" s="220"/>
    </row>
    <row r="33" spans="1:8" ht="12.75">
      <c r="A33" s="220" t="s">
        <v>983</v>
      </c>
      <c r="B33" s="221"/>
      <c r="C33" s="220"/>
      <c r="D33" s="220"/>
      <c r="E33" s="220"/>
      <c r="F33" s="220"/>
      <c r="G33" s="220"/>
      <c r="H33" s="220"/>
    </row>
    <row r="34" spans="1:8" ht="12.75">
      <c r="A34" s="220"/>
      <c r="B34" s="221"/>
      <c r="C34" s="220"/>
      <c r="D34" s="220"/>
      <c r="E34" s="220"/>
      <c r="F34" s="220"/>
      <c r="G34" s="220"/>
      <c r="H34" s="220"/>
    </row>
    <row r="35" spans="1:8" ht="12.75">
      <c r="A35" s="220"/>
      <c r="B35" s="236">
        <v>311</v>
      </c>
      <c r="C35" s="235" t="s">
        <v>977</v>
      </c>
      <c r="D35" s="235"/>
      <c r="E35" s="235"/>
      <c r="F35" s="235"/>
      <c r="G35" s="237">
        <v>2.0299999999999999E-2</v>
      </c>
      <c r="H35" s="220"/>
    </row>
    <row r="36" spans="1:8" ht="12.75">
      <c r="A36" s="220"/>
      <c r="B36" s="236">
        <v>312</v>
      </c>
      <c r="C36" s="235" t="s">
        <v>978</v>
      </c>
      <c r="D36" s="235"/>
      <c r="E36" s="235"/>
      <c r="F36" s="235"/>
      <c r="G36" s="237">
        <v>3.2899999999999999E-2</v>
      </c>
      <c r="H36" s="220"/>
    </row>
    <row r="37" spans="1:8" ht="12.75">
      <c r="A37" s="220"/>
      <c r="B37" s="236">
        <v>312</v>
      </c>
      <c r="C37" s="235" t="s">
        <v>1127</v>
      </c>
      <c r="D37" s="235"/>
      <c r="E37" s="235"/>
      <c r="F37" s="235"/>
      <c r="G37" s="237">
        <v>6.0100000000000001E-2</v>
      </c>
      <c r="H37" s="220"/>
    </row>
    <row r="38" spans="1:8" ht="12.75">
      <c r="A38" s="220"/>
      <c r="B38" s="236">
        <v>314</v>
      </c>
      <c r="C38" s="235" t="s">
        <v>979</v>
      </c>
      <c r="D38" s="235"/>
      <c r="E38" s="235"/>
      <c r="F38" s="235"/>
      <c r="G38" s="237">
        <v>3.32E-2</v>
      </c>
      <c r="H38" s="220"/>
    </row>
    <row r="39" spans="1:8" ht="12.75">
      <c r="A39" s="220"/>
      <c r="B39" s="236">
        <v>315</v>
      </c>
      <c r="C39" s="235" t="s">
        <v>980</v>
      </c>
      <c r="D39" s="235"/>
      <c r="E39" s="235"/>
      <c r="F39" s="235"/>
      <c r="G39" s="237">
        <v>2.7900000000000001E-2</v>
      </c>
      <c r="H39" s="220"/>
    </row>
    <row r="40" spans="1:8" ht="12.75">
      <c r="A40" s="220"/>
      <c r="B40" s="236">
        <v>316</v>
      </c>
      <c r="C40" s="235" t="s">
        <v>981</v>
      </c>
      <c r="D40" s="235"/>
      <c r="E40" s="235"/>
      <c r="F40" s="235"/>
      <c r="G40" s="237">
        <v>3.1E-2</v>
      </c>
      <c r="H40" s="220"/>
    </row>
    <row r="41" spans="1:8" ht="12.75">
      <c r="A41" s="220"/>
      <c r="B41" s="221"/>
      <c r="C41" s="220"/>
      <c r="D41" s="220"/>
      <c r="E41" s="220"/>
      <c r="F41" s="220"/>
      <c r="G41" s="222"/>
      <c r="H41" s="220"/>
    </row>
    <row r="42" spans="1:8" ht="12.75">
      <c r="A42" s="220"/>
      <c r="B42" s="221"/>
      <c r="C42" s="220"/>
      <c r="D42" s="220"/>
      <c r="E42" s="220"/>
      <c r="F42" s="220"/>
      <c r="G42" s="222"/>
      <c r="H42" s="220"/>
    </row>
    <row r="43" spans="1:8" ht="12.75">
      <c r="A43" s="220" t="s">
        <v>984</v>
      </c>
      <c r="B43" s="221"/>
      <c r="C43" s="220"/>
      <c r="D43" s="220"/>
      <c r="E43" s="220"/>
      <c r="F43" s="220"/>
      <c r="G43" s="222"/>
      <c r="H43" s="220"/>
    </row>
    <row r="44" spans="1:8" ht="12.75">
      <c r="A44" s="220"/>
      <c r="B44" s="221"/>
      <c r="C44" s="220"/>
      <c r="D44" s="220"/>
      <c r="E44" s="220"/>
      <c r="F44" s="220"/>
      <c r="G44" s="222"/>
      <c r="H44" s="220"/>
    </row>
    <row r="45" spans="1:8" ht="12.75">
      <c r="A45" s="220"/>
      <c r="B45" s="239">
        <v>311</v>
      </c>
      <c r="C45" s="238" t="s">
        <v>977</v>
      </c>
      <c r="D45" s="238"/>
      <c r="E45" s="238"/>
      <c r="F45" s="238"/>
      <c r="G45" s="240">
        <v>2.5399999999999999E-2</v>
      </c>
      <c r="H45" s="220"/>
    </row>
    <row r="46" spans="1:8" ht="12.75">
      <c r="A46" s="220"/>
      <c r="B46" s="239">
        <v>312</v>
      </c>
      <c r="C46" s="238" t="s">
        <v>978</v>
      </c>
      <c r="D46" s="238"/>
      <c r="E46" s="238"/>
      <c r="F46" s="238"/>
      <c r="G46" s="240">
        <v>3.56E-2</v>
      </c>
      <c r="H46" s="220"/>
    </row>
    <row r="47" spans="1:8" s="234" customFormat="1" ht="12.75">
      <c r="A47" s="235"/>
      <c r="B47" s="239">
        <v>312</v>
      </c>
      <c r="C47" s="238" t="s">
        <v>1127</v>
      </c>
      <c r="D47" s="238"/>
      <c r="E47" s="238"/>
      <c r="F47" s="238"/>
      <c r="G47" s="240">
        <v>7.6300000000000007E-2</v>
      </c>
      <c r="H47" s="235"/>
    </row>
    <row r="48" spans="1:8" ht="12.75">
      <c r="A48" s="220"/>
      <c r="B48" s="239">
        <v>314</v>
      </c>
      <c r="C48" s="238" t="s">
        <v>979</v>
      </c>
      <c r="D48" s="238"/>
      <c r="E48" s="238"/>
      <c r="F48" s="238"/>
      <c r="G48" s="240">
        <v>3.1199999999999999E-2</v>
      </c>
      <c r="H48" s="220"/>
    </row>
    <row r="49" spans="1:9" ht="12.75">
      <c r="A49" s="220"/>
      <c r="B49" s="239">
        <v>315</v>
      </c>
      <c r="C49" s="238" t="s">
        <v>980</v>
      </c>
      <c r="D49" s="238"/>
      <c r="E49" s="238"/>
      <c r="F49" s="238"/>
      <c r="G49" s="240">
        <v>2.1700000000000001E-2</v>
      </c>
      <c r="H49" s="220"/>
    </row>
    <row r="50" spans="1:9" ht="12.75">
      <c r="A50" s="220"/>
      <c r="B50" s="239">
        <v>316</v>
      </c>
      <c r="C50" s="238" t="s">
        <v>981</v>
      </c>
      <c r="D50" s="238"/>
      <c r="E50" s="238"/>
      <c r="F50" s="238"/>
      <c r="G50" s="240">
        <v>2.6800000000000001E-2</v>
      </c>
      <c r="H50" s="220"/>
    </row>
    <row r="51" spans="1:9" ht="12.75">
      <c r="A51" s="220"/>
      <c r="B51" s="221"/>
      <c r="C51" s="220"/>
      <c r="D51" s="220"/>
      <c r="E51" s="220"/>
      <c r="F51" s="220"/>
      <c r="G51" s="222"/>
      <c r="H51" s="220"/>
      <c r="I51" s="41" t="s">
        <v>972</v>
      </c>
    </row>
    <row r="52" spans="1:9" ht="12.75">
      <c r="A52" s="220"/>
      <c r="B52" s="221"/>
      <c r="C52" s="331" t="s">
        <v>814</v>
      </c>
      <c r="D52" s="339"/>
      <c r="E52" s="339"/>
      <c r="F52" s="339"/>
      <c r="G52" s="339"/>
      <c r="H52" s="220"/>
      <c r="I52" s="24" t="s">
        <v>973</v>
      </c>
    </row>
    <row r="53" spans="1:9" ht="12.75">
      <c r="A53" s="220"/>
      <c r="B53" s="221"/>
      <c r="C53" s="340" t="s">
        <v>811</v>
      </c>
      <c r="D53" s="340"/>
      <c r="E53" s="340"/>
      <c r="F53" s="340"/>
      <c r="G53" s="340"/>
      <c r="H53" s="220"/>
      <c r="I53" s="24" t="s">
        <v>1029</v>
      </c>
    </row>
    <row r="54" spans="1:9" ht="12.75">
      <c r="A54" s="220"/>
      <c r="B54" s="221"/>
      <c r="C54" s="19" t="s">
        <v>272</v>
      </c>
      <c r="D54" s="19" t="s">
        <v>1028</v>
      </c>
      <c r="E54" s="19"/>
      <c r="F54" s="19"/>
      <c r="G54" s="19"/>
      <c r="H54" s="220"/>
      <c r="I54" s="24"/>
    </row>
    <row r="55" spans="1:9" ht="12.75">
      <c r="A55" s="220"/>
      <c r="B55" s="221"/>
      <c r="C55" s="338" t="str">
        <f>+C5</f>
        <v>12 Months Ending 12/31/2010 (actuals)</v>
      </c>
      <c r="D55" s="339"/>
      <c r="E55" s="339"/>
      <c r="F55" s="339"/>
      <c r="G55" s="339"/>
      <c r="H55" s="220"/>
      <c r="I55" s="24"/>
    </row>
    <row r="56" spans="1:9" ht="12.75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 ht="12.75">
      <c r="A57" s="220"/>
      <c r="B57" s="221"/>
      <c r="C57" s="220"/>
      <c r="D57" s="220"/>
      <c r="E57" s="220"/>
      <c r="F57" s="220"/>
      <c r="G57" s="222"/>
      <c r="H57" s="220"/>
    </row>
    <row r="58" spans="1:9" ht="12.75">
      <c r="A58" s="220" t="s">
        <v>985</v>
      </c>
      <c r="B58" s="221"/>
      <c r="C58" s="220"/>
      <c r="D58" s="220"/>
      <c r="E58" s="220"/>
      <c r="F58" s="220"/>
      <c r="G58" s="222"/>
      <c r="H58" s="220"/>
    </row>
    <row r="59" spans="1:9" ht="12.75">
      <c r="A59" s="220"/>
      <c r="B59" s="221"/>
      <c r="C59" s="220"/>
      <c r="D59" s="220"/>
      <c r="E59" s="220"/>
      <c r="F59" s="220"/>
      <c r="G59" s="222"/>
      <c r="H59" s="220"/>
    </row>
    <row r="60" spans="1:9" ht="12.75">
      <c r="A60" s="220"/>
      <c r="B60" s="221">
        <v>311</v>
      </c>
      <c r="C60" s="220" t="s">
        <v>977</v>
      </c>
      <c r="D60" s="220"/>
      <c r="E60" s="220"/>
      <c r="F60" s="220"/>
      <c r="G60" s="241" t="s">
        <v>1128</v>
      </c>
      <c r="H60" s="220"/>
    </row>
    <row r="61" spans="1:9" ht="12.75">
      <c r="A61" s="220"/>
      <c r="B61" s="221">
        <v>312</v>
      </c>
      <c r="C61" s="220" t="s">
        <v>978</v>
      </c>
      <c r="D61" s="220"/>
      <c r="E61" s="220"/>
      <c r="F61" s="220"/>
      <c r="G61" s="241" t="s">
        <v>1128</v>
      </c>
      <c r="H61" s="220"/>
    </row>
    <row r="62" spans="1:9" ht="12.75">
      <c r="A62" s="220"/>
      <c r="B62" s="221">
        <v>314</v>
      </c>
      <c r="C62" s="220" t="s">
        <v>979</v>
      </c>
      <c r="D62" s="220"/>
      <c r="E62" s="220"/>
      <c r="F62" s="220"/>
      <c r="G62" s="241" t="s">
        <v>1128</v>
      </c>
      <c r="H62" s="220"/>
    </row>
    <row r="63" spans="1:9" ht="12.75">
      <c r="A63" s="220"/>
      <c r="B63" s="221">
        <v>315</v>
      </c>
      <c r="C63" s="220" t="s">
        <v>980</v>
      </c>
      <c r="D63" s="220"/>
      <c r="E63" s="220"/>
      <c r="F63" s="220"/>
      <c r="G63" s="241" t="s">
        <v>1128</v>
      </c>
      <c r="H63" s="220"/>
    </row>
    <row r="64" spans="1:9" ht="12.75">
      <c r="A64" s="220"/>
      <c r="B64" s="221">
        <v>316</v>
      </c>
      <c r="C64" s="220" t="s">
        <v>981</v>
      </c>
      <c r="D64" s="220"/>
      <c r="E64" s="220"/>
      <c r="F64" s="220"/>
      <c r="G64" s="241" t="s">
        <v>1128</v>
      </c>
      <c r="H64" s="220"/>
    </row>
    <row r="65" spans="1:8" ht="12.75">
      <c r="A65" s="220"/>
      <c r="B65" s="221"/>
      <c r="C65" s="220"/>
      <c r="D65" s="220"/>
      <c r="E65" s="220"/>
      <c r="F65" s="220"/>
      <c r="G65" s="222"/>
      <c r="H65" s="220"/>
    </row>
    <row r="66" spans="1:8" ht="12.75">
      <c r="A66" s="220"/>
      <c r="B66" s="221"/>
      <c r="C66" s="220"/>
      <c r="D66" s="220"/>
      <c r="E66" s="220"/>
      <c r="F66" s="220"/>
      <c r="G66" s="222"/>
      <c r="H66" s="220"/>
    </row>
    <row r="67" spans="1:8" ht="12.75">
      <c r="A67" s="220" t="s">
        <v>986</v>
      </c>
      <c r="B67" s="221"/>
      <c r="C67" s="220"/>
      <c r="D67" s="220"/>
      <c r="E67" s="220"/>
      <c r="F67" s="220"/>
      <c r="G67" s="222"/>
      <c r="H67" s="220"/>
    </row>
    <row r="68" spans="1:8" ht="12.75">
      <c r="A68" s="220"/>
      <c r="B68" s="221"/>
      <c r="C68" s="220"/>
      <c r="D68" s="220"/>
      <c r="E68" s="220"/>
      <c r="F68" s="220"/>
      <c r="G68" s="222"/>
      <c r="H68" s="220"/>
    </row>
    <row r="69" spans="1:8" ht="12.75">
      <c r="A69" s="220"/>
      <c r="B69" s="221">
        <v>311</v>
      </c>
      <c r="C69" s="220" t="s">
        <v>977</v>
      </c>
      <c r="D69" s="220"/>
      <c r="E69" s="220"/>
      <c r="F69" s="220"/>
      <c r="G69" s="242">
        <v>3.8600000000000002E-2</v>
      </c>
      <c r="H69" s="220"/>
    </row>
    <row r="70" spans="1:8" ht="12.75">
      <c r="A70" s="220"/>
      <c r="B70" s="221">
        <v>312</v>
      </c>
      <c r="C70" s="220" t="s">
        <v>978</v>
      </c>
      <c r="D70" s="220"/>
      <c r="E70" s="220"/>
      <c r="F70" s="220"/>
      <c r="G70" s="242">
        <v>4.7300000000000002E-2</v>
      </c>
      <c r="H70" s="220"/>
    </row>
    <row r="71" spans="1:8" ht="12.75">
      <c r="A71" s="220"/>
      <c r="B71" s="221">
        <v>314</v>
      </c>
      <c r="C71" s="220" t="s">
        <v>979</v>
      </c>
      <c r="D71" s="220"/>
      <c r="E71" s="220"/>
      <c r="F71" s="220"/>
      <c r="G71" s="242">
        <v>3.6799999999999999E-2</v>
      </c>
      <c r="H71" s="220"/>
    </row>
    <row r="72" spans="1:8" ht="12.75">
      <c r="A72" s="220"/>
      <c r="B72" s="221">
        <v>315</v>
      </c>
      <c r="C72" s="220" t="s">
        <v>980</v>
      </c>
      <c r="D72" s="220"/>
      <c r="E72" s="220"/>
      <c r="F72" s="220"/>
      <c r="G72" s="242">
        <v>4.3700000000000003E-2</v>
      </c>
      <c r="H72" s="220"/>
    </row>
    <row r="73" spans="1:8" ht="12.75">
      <c r="A73" s="220"/>
      <c r="B73" s="221">
        <v>316</v>
      </c>
      <c r="C73" s="220" t="s">
        <v>981</v>
      </c>
      <c r="D73" s="220"/>
      <c r="E73" s="220"/>
      <c r="F73" s="220"/>
      <c r="G73" s="242">
        <v>7.1099999999999997E-2</v>
      </c>
      <c r="H73" s="220"/>
    </row>
    <row r="74" spans="1:8" ht="12.75">
      <c r="A74" s="220"/>
      <c r="B74" s="221"/>
      <c r="C74" s="220"/>
      <c r="D74" s="220"/>
      <c r="E74" s="220"/>
      <c r="F74" s="220"/>
      <c r="G74" s="222"/>
      <c r="H74" s="220"/>
    </row>
    <row r="75" spans="1:8" ht="12.75">
      <c r="A75" s="220"/>
      <c r="B75" s="221"/>
      <c r="C75" s="220"/>
      <c r="D75" s="220"/>
      <c r="E75" s="220"/>
      <c r="F75" s="220"/>
      <c r="G75" s="222"/>
      <c r="H75" s="220"/>
    </row>
    <row r="76" spans="1:8" ht="12.75">
      <c r="A76" s="220" t="s">
        <v>987</v>
      </c>
      <c r="B76" s="221"/>
      <c r="C76" s="220"/>
      <c r="D76" s="220"/>
      <c r="E76" s="220"/>
      <c r="F76" s="220"/>
      <c r="G76" s="222"/>
      <c r="H76" s="220"/>
    </row>
    <row r="77" spans="1:8" ht="12.75">
      <c r="A77" s="220"/>
      <c r="B77" s="221"/>
      <c r="C77" s="220"/>
      <c r="D77" s="220"/>
      <c r="E77" s="220"/>
      <c r="F77" s="220"/>
      <c r="G77" s="222"/>
      <c r="H77" s="220"/>
    </row>
    <row r="78" spans="1:8" ht="12.75">
      <c r="A78" s="220"/>
      <c r="B78" s="221">
        <v>311</v>
      </c>
      <c r="C78" s="220" t="s">
        <v>977</v>
      </c>
      <c r="D78" s="220"/>
      <c r="E78" s="220"/>
      <c r="F78" s="220"/>
      <c r="G78" s="243" t="s">
        <v>1128</v>
      </c>
      <c r="H78" s="220"/>
    </row>
    <row r="79" spans="1:8" ht="12.75">
      <c r="A79" s="220"/>
      <c r="B79" s="221">
        <v>312</v>
      </c>
      <c r="C79" s="220" t="s">
        <v>978</v>
      </c>
      <c r="D79" s="220"/>
      <c r="E79" s="220"/>
      <c r="F79" s="220"/>
      <c r="G79" s="243" t="s">
        <v>1128</v>
      </c>
      <c r="H79" s="220"/>
    </row>
    <row r="80" spans="1:8" ht="12.75">
      <c r="A80" s="220"/>
      <c r="B80" s="221">
        <v>314</v>
      </c>
      <c r="C80" s="220" t="s">
        <v>979</v>
      </c>
      <c r="D80" s="220"/>
      <c r="E80" s="220"/>
      <c r="F80" s="220"/>
      <c r="G80" s="243" t="s">
        <v>1128</v>
      </c>
      <c r="H80" s="220"/>
    </row>
    <row r="81" spans="1:8" ht="12.75">
      <c r="A81" s="220"/>
      <c r="B81" s="221">
        <v>315</v>
      </c>
      <c r="C81" s="220" t="s">
        <v>980</v>
      </c>
      <c r="D81" s="220"/>
      <c r="E81" s="220"/>
      <c r="F81" s="220"/>
      <c r="G81" s="243" t="s">
        <v>1128</v>
      </c>
      <c r="H81" s="220"/>
    </row>
    <row r="82" spans="1:8" ht="12.75">
      <c r="A82" s="220"/>
      <c r="B82" s="221">
        <v>316</v>
      </c>
      <c r="C82" s="220" t="s">
        <v>981</v>
      </c>
      <c r="D82" s="220"/>
      <c r="E82" s="220"/>
      <c r="F82" s="220"/>
      <c r="G82" s="243" t="s">
        <v>1128</v>
      </c>
      <c r="H82" s="220"/>
    </row>
    <row r="83" spans="1:8" ht="12.75">
      <c r="A83" s="220"/>
      <c r="B83" s="221"/>
      <c r="C83" s="220"/>
      <c r="D83" s="220"/>
      <c r="E83" s="220"/>
      <c r="F83" s="220"/>
      <c r="G83" s="222"/>
      <c r="H83" s="220"/>
    </row>
    <row r="84" spans="1:8" ht="12.75">
      <c r="A84" s="220"/>
      <c r="B84" s="221"/>
      <c r="C84" s="220"/>
      <c r="D84" s="220"/>
      <c r="E84" s="220"/>
      <c r="F84" s="220"/>
      <c r="G84" s="222"/>
      <c r="H84" s="220"/>
    </row>
    <row r="85" spans="1:8" ht="12.75">
      <c r="A85" s="220" t="s">
        <v>988</v>
      </c>
      <c r="B85" s="221"/>
      <c r="C85" s="220"/>
      <c r="D85" s="220"/>
      <c r="E85" s="220"/>
      <c r="F85" s="220"/>
      <c r="G85" s="222"/>
      <c r="H85" s="220"/>
    </row>
    <row r="86" spans="1:8" ht="12.75">
      <c r="A86" s="220" t="s">
        <v>989</v>
      </c>
      <c r="B86" s="221"/>
      <c r="C86" s="220"/>
      <c r="D86" s="220"/>
      <c r="E86" s="220"/>
      <c r="F86" s="220"/>
      <c r="G86" s="222"/>
      <c r="H86" s="220"/>
    </row>
    <row r="87" spans="1:8" ht="12.75">
      <c r="A87" s="220"/>
      <c r="B87" s="221">
        <v>311</v>
      </c>
      <c r="C87" s="220" t="s">
        <v>977</v>
      </c>
      <c r="D87" s="220"/>
      <c r="E87" s="220"/>
      <c r="F87" s="220"/>
      <c r="G87" s="244" t="s">
        <v>1128</v>
      </c>
      <c r="H87" s="220"/>
    </row>
    <row r="88" spans="1:8" ht="12.75">
      <c r="A88" s="220"/>
      <c r="B88" s="221">
        <v>312</v>
      </c>
      <c r="C88" s="220" t="s">
        <v>978</v>
      </c>
      <c r="D88" s="220"/>
      <c r="E88" s="220"/>
      <c r="F88" s="220"/>
      <c r="G88" s="244" t="s">
        <v>1128</v>
      </c>
      <c r="H88" s="220"/>
    </row>
    <row r="89" spans="1:8" ht="12.75">
      <c r="A89" s="220"/>
      <c r="B89" s="221">
        <v>314</v>
      </c>
      <c r="C89" s="220" t="s">
        <v>979</v>
      </c>
      <c r="D89" s="220"/>
      <c r="E89" s="220"/>
      <c r="F89" s="220"/>
      <c r="G89" s="244" t="s">
        <v>1128</v>
      </c>
      <c r="H89" s="220"/>
    </row>
    <row r="90" spans="1:8" ht="12.75">
      <c r="A90" s="220"/>
      <c r="B90" s="221">
        <v>315</v>
      </c>
      <c r="C90" s="220" t="s">
        <v>980</v>
      </c>
      <c r="D90" s="220"/>
      <c r="E90" s="220"/>
      <c r="F90" s="220"/>
      <c r="G90" s="244" t="s">
        <v>1128</v>
      </c>
      <c r="H90" s="220"/>
    </row>
    <row r="91" spans="1:8" ht="12.75">
      <c r="A91" s="220"/>
      <c r="B91" s="221">
        <v>316</v>
      </c>
      <c r="C91" s="220" t="s">
        <v>981</v>
      </c>
      <c r="D91" s="220"/>
      <c r="E91" s="220"/>
      <c r="F91" s="220"/>
      <c r="G91" s="244" t="s">
        <v>1128</v>
      </c>
      <c r="H91" s="220"/>
    </row>
    <row r="92" spans="1:8" ht="12.75">
      <c r="A92" s="220"/>
      <c r="B92" s="221"/>
      <c r="C92" s="220"/>
      <c r="D92" s="220"/>
      <c r="E92" s="220"/>
      <c r="F92" s="220"/>
      <c r="G92" s="222"/>
      <c r="H92" s="220"/>
    </row>
    <row r="93" spans="1:8" ht="12.75">
      <c r="A93" s="220"/>
      <c r="B93" s="221"/>
      <c r="C93" s="220"/>
      <c r="D93" s="220"/>
      <c r="E93" s="220"/>
      <c r="F93" s="220"/>
      <c r="G93" s="222"/>
      <c r="H93" s="220"/>
    </row>
    <row r="94" spans="1:8" ht="12.75">
      <c r="A94" s="220" t="s">
        <v>990</v>
      </c>
      <c r="B94" s="221"/>
      <c r="C94" s="220"/>
      <c r="D94" s="220"/>
      <c r="E94" s="220"/>
      <c r="F94" s="220"/>
      <c r="G94" s="222"/>
      <c r="H94" s="220"/>
    </row>
    <row r="95" spans="1:8" ht="12.75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 ht="12.75">
      <c r="A96" s="220"/>
      <c r="B96" s="221">
        <v>311</v>
      </c>
      <c r="C96" s="220" t="s">
        <v>977</v>
      </c>
      <c r="D96" s="220"/>
      <c r="E96" s="220"/>
      <c r="F96" s="220"/>
      <c r="G96" s="244" t="s">
        <v>1128</v>
      </c>
      <c r="H96" s="220"/>
    </row>
    <row r="97" spans="1:9" ht="12.75">
      <c r="A97" s="220"/>
      <c r="B97" s="221">
        <v>312</v>
      </c>
      <c r="C97" s="220" t="s">
        <v>978</v>
      </c>
      <c r="D97" s="220"/>
      <c r="E97" s="220"/>
      <c r="F97" s="220"/>
      <c r="G97" s="244" t="s">
        <v>1128</v>
      </c>
      <c r="H97" s="220"/>
    </row>
    <row r="98" spans="1:9" ht="12.75">
      <c r="A98" s="220"/>
      <c r="B98" s="221">
        <v>315</v>
      </c>
      <c r="C98" s="220" t="s">
        <v>980</v>
      </c>
      <c r="D98" s="220"/>
      <c r="E98" s="220"/>
      <c r="F98" s="220"/>
      <c r="G98" s="244" t="s">
        <v>1128</v>
      </c>
      <c r="H98" s="220"/>
    </row>
    <row r="99" spans="1:9" ht="12.75">
      <c r="A99" s="220"/>
      <c r="B99" s="221">
        <v>316</v>
      </c>
      <c r="C99" s="220" t="s">
        <v>981</v>
      </c>
      <c r="D99" s="220"/>
      <c r="E99" s="220"/>
      <c r="F99" s="220"/>
      <c r="G99" s="244" t="s">
        <v>1128</v>
      </c>
      <c r="H99" s="220"/>
    </row>
    <row r="100" spans="1:9" ht="12.75">
      <c r="A100" s="220"/>
      <c r="B100" s="221"/>
      <c r="C100" s="220"/>
      <c r="D100" s="220"/>
      <c r="E100" s="220"/>
      <c r="F100" s="220"/>
      <c r="G100" s="222"/>
      <c r="H100" s="220"/>
    </row>
    <row r="101" spans="1:9" ht="12.75">
      <c r="A101" s="220"/>
      <c r="B101" s="221"/>
      <c r="C101" s="220"/>
      <c r="D101" s="220"/>
      <c r="E101" s="220"/>
      <c r="F101" s="220"/>
      <c r="G101" s="222"/>
      <c r="H101" s="220"/>
      <c r="I101" s="41" t="s">
        <v>972</v>
      </c>
    </row>
    <row r="102" spans="1:9" ht="12.75">
      <c r="A102" s="220"/>
      <c r="B102" s="221"/>
      <c r="C102" s="331" t="s">
        <v>814</v>
      </c>
      <c r="D102" s="339"/>
      <c r="E102" s="339"/>
      <c r="F102" s="339"/>
      <c r="G102" s="339"/>
      <c r="H102" s="220"/>
      <c r="I102" s="24" t="s">
        <v>973</v>
      </c>
    </row>
    <row r="103" spans="1:9" ht="12.75">
      <c r="A103" s="220"/>
      <c r="B103" s="221"/>
      <c r="C103" s="340" t="s">
        <v>811</v>
      </c>
      <c r="D103" s="340"/>
      <c r="E103" s="340"/>
      <c r="F103" s="340"/>
      <c r="G103" s="340"/>
      <c r="H103" s="220"/>
      <c r="I103" s="24" t="s">
        <v>1030</v>
      </c>
    </row>
    <row r="104" spans="1:9" ht="12.75">
      <c r="A104" s="220"/>
      <c r="B104" s="221"/>
      <c r="C104" s="19" t="s">
        <v>272</v>
      </c>
      <c r="D104" s="19" t="s">
        <v>1028</v>
      </c>
      <c r="E104" s="19"/>
      <c r="F104" s="19"/>
      <c r="G104" s="19"/>
      <c r="H104" s="220"/>
      <c r="I104" s="24"/>
    </row>
    <row r="105" spans="1:9" ht="12.75">
      <c r="A105" s="220"/>
      <c r="B105" s="221"/>
      <c r="C105" s="338" t="str">
        <f>+C5</f>
        <v>12 Months Ending 12/31/2010 (actuals)</v>
      </c>
      <c r="D105" s="339"/>
      <c r="E105" s="339"/>
      <c r="F105" s="339"/>
      <c r="G105" s="339"/>
      <c r="H105" s="220"/>
      <c r="I105" s="24"/>
    </row>
    <row r="106" spans="1:9" ht="12.75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 ht="12.75">
      <c r="A107" s="220"/>
      <c r="B107" s="221"/>
      <c r="C107" s="220"/>
      <c r="D107" s="220"/>
      <c r="E107" s="220"/>
      <c r="F107" s="220"/>
      <c r="G107" s="220"/>
      <c r="H107" s="220"/>
    </row>
    <row r="108" spans="1:9" ht="12.75">
      <c r="A108" s="220" t="s">
        <v>991</v>
      </c>
      <c r="B108" s="221"/>
      <c r="C108" s="220"/>
      <c r="D108" s="220"/>
      <c r="E108" s="220"/>
      <c r="F108" s="220"/>
      <c r="G108" s="220"/>
      <c r="H108" s="220"/>
    </row>
    <row r="109" spans="1:9" ht="12.75">
      <c r="A109" s="220"/>
      <c r="B109" s="221"/>
      <c r="C109" s="220"/>
      <c r="D109" s="220"/>
      <c r="E109" s="220"/>
      <c r="F109" s="220"/>
      <c r="G109" s="220"/>
      <c r="H109" s="220"/>
    </row>
    <row r="110" spans="1:9" ht="12.75">
      <c r="A110" s="220" t="s">
        <v>272</v>
      </c>
      <c r="B110" s="221">
        <v>316</v>
      </c>
      <c r="C110" s="220" t="s">
        <v>981</v>
      </c>
      <c r="D110" s="220"/>
      <c r="E110" s="220"/>
      <c r="F110" s="220"/>
      <c r="G110" s="245">
        <v>2.5100000000000001E-2</v>
      </c>
      <c r="H110" s="220"/>
    </row>
    <row r="111" spans="1:9" ht="12.75">
      <c r="A111" s="220"/>
      <c r="B111" s="221"/>
      <c r="C111" s="220"/>
      <c r="D111" s="220"/>
      <c r="E111" s="220"/>
      <c r="F111" s="220"/>
      <c r="G111" s="220"/>
      <c r="H111" s="220"/>
    </row>
    <row r="112" spans="1:9" ht="12.75">
      <c r="A112" s="220"/>
      <c r="B112" s="221"/>
      <c r="C112" s="220"/>
      <c r="D112" s="220"/>
      <c r="E112" s="220"/>
      <c r="F112" s="220"/>
      <c r="G112" s="220"/>
      <c r="H112" s="220"/>
    </row>
    <row r="113" spans="1:8" ht="12.75">
      <c r="A113" s="220" t="s">
        <v>992</v>
      </c>
      <c r="B113" s="221"/>
      <c r="C113" s="220"/>
      <c r="D113" s="220"/>
      <c r="E113" s="220"/>
      <c r="F113" s="220"/>
      <c r="G113" s="220"/>
      <c r="H113" s="220"/>
    </row>
    <row r="114" spans="1:8" ht="12.75">
      <c r="A114" s="220"/>
      <c r="B114" s="221"/>
      <c r="C114" s="220"/>
      <c r="D114" s="220"/>
      <c r="E114" s="220"/>
      <c r="F114" s="220"/>
      <c r="G114" s="220"/>
      <c r="H114" s="220"/>
    </row>
    <row r="115" spans="1:8" ht="12.75">
      <c r="A115" s="220" t="s">
        <v>272</v>
      </c>
      <c r="B115" s="221">
        <v>316</v>
      </c>
      <c r="C115" s="220" t="s">
        <v>981</v>
      </c>
      <c r="D115" s="220"/>
      <c r="E115" s="220"/>
      <c r="F115" s="220"/>
      <c r="G115" s="248">
        <v>2.7E-2</v>
      </c>
      <c r="H115" s="220"/>
    </row>
    <row r="116" spans="1:8" ht="12.75">
      <c r="A116" s="220"/>
      <c r="B116" s="221"/>
      <c r="C116" s="220"/>
      <c r="D116" s="220"/>
      <c r="E116" s="220"/>
      <c r="F116" s="220"/>
      <c r="G116" s="220"/>
      <c r="H116" s="220"/>
    </row>
    <row r="117" spans="1:8" ht="12.75">
      <c r="A117" s="220"/>
      <c r="B117" s="221"/>
      <c r="C117" s="220"/>
      <c r="D117" s="220"/>
      <c r="E117" s="220"/>
      <c r="F117" s="220"/>
      <c r="G117" s="220"/>
      <c r="H117" s="220"/>
    </row>
    <row r="118" spans="1:8" ht="12.75">
      <c r="A118" s="220" t="s">
        <v>1129</v>
      </c>
      <c r="B118" s="221"/>
      <c r="C118" s="220"/>
      <c r="D118" s="220"/>
      <c r="E118" s="220"/>
      <c r="F118" s="220"/>
      <c r="G118" s="220"/>
      <c r="H118" s="220"/>
    </row>
    <row r="119" spans="1:8" ht="12.75">
      <c r="A119" s="220"/>
      <c r="B119" s="221"/>
      <c r="C119" s="220"/>
      <c r="D119" s="220"/>
      <c r="E119" s="220"/>
      <c r="F119" s="220"/>
      <c r="G119" s="220"/>
      <c r="H119" s="220"/>
    </row>
    <row r="120" spans="1:8" ht="12.75">
      <c r="A120" s="220" t="s">
        <v>272</v>
      </c>
      <c r="B120" s="250">
        <v>311</v>
      </c>
      <c r="C120" s="249" t="s">
        <v>977</v>
      </c>
      <c r="D120" s="249"/>
      <c r="E120" s="249"/>
      <c r="F120" s="249"/>
      <c r="G120" s="251">
        <v>3.3399999999999999E-2</v>
      </c>
      <c r="H120" s="220"/>
    </row>
    <row r="121" spans="1:8" ht="12.75">
      <c r="A121" s="220"/>
      <c r="B121" s="250">
        <v>312</v>
      </c>
      <c r="C121" s="249" t="s">
        <v>978</v>
      </c>
      <c r="D121" s="249"/>
      <c r="E121" s="249"/>
      <c r="F121" s="249"/>
      <c r="G121" s="251">
        <v>3.2399999999999998E-2</v>
      </c>
      <c r="H121" s="220"/>
    </row>
    <row r="122" spans="1:8" s="246" customFormat="1" ht="12.75">
      <c r="A122" s="247"/>
      <c r="B122" s="250">
        <v>315</v>
      </c>
      <c r="C122" s="249" t="s">
        <v>980</v>
      </c>
      <c r="D122" s="249"/>
      <c r="E122" s="249"/>
      <c r="F122" s="249"/>
      <c r="G122" s="251">
        <v>3.4099999999999998E-2</v>
      </c>
      <c r="H122" s="247"/>
    </row>
    <row r="123" spans="1:8" ht="12.75">
      <c r="A123" s="220"/>
      <c r="B123" s="220"/>
      <c r="C123" s="220"/>
      <c r="D123" s="220"/>
      <c r="E123" s="220"/>
      <c r="F123" s="220"/>
      <c r="G123" s="220"/>
      <c r="H123" s="220"/>
    </row>
    <row r="124" spans="1:8" ht="12.75">
      <c r="A124" s="220"/>
      <c r="B124" s="220"/>
      <c r="C124" s="220"/>
      <c r="D124" s="220"/>
      <c r="E124" s="220"/>
      <c r="F124" s="220"/>
      <c r="G124" s="220"/>
      <c r="H124" s="220"/>
    </row>
    <row r="125" spans="1:8" ht="12.75">
      <c r="A125" s="220" t="s">
        <v>993</v>
      </c>
      <c r="B125" s="220"/>
      <c r="C125" s="220"/>
      <c r="D125" s="220"/>
      <c r="E125" s="220"/>
      <c r="F125" s="220"/>
      <c r="G125" s="220"/>
      <c r="H125" s="220"/>
    </row>
    <row r="126" spans="1:8" ht="12.75">
      <c r="A126" s="220"/>
      <c r="B126" s="220"/>
      <c r="C126" s="220"/>
      <c r="D126" s="220"/>
      <c r="E126" s="220"/>
      <c r="F126" s="220"/>
      <c r="G126" s="220"/>
      <c r="H126" s="220"/>
    </row>
    <row r="127" spans="1:8" ht="12.75">
      <c r="A127" s="220" t="s">
        <v>994</v>
      </c>
      <c r="B127" s="221">
        <v>331</v>
      </c>
      <c r="C127" s="220" t="s">
        <v>977</v>
      </c>
      <c r="D127" s="220"/>
      <c r="E127" s="220"/>
      <c r="F127" s="220"/>
      <c r="G127" s="252">
        <v>1.6500000000000001E-2</v>
      </c>
      <c r="H127" s="220"/>
    </row>
    <row r="128" spans="1:8" ht="12.75">
      <c r="A128" s="220"/>
      <c r="B128" s="221">
        <v>332</v>
      </c>
      <c r="C128" s="220" t="s">
        <v>995</v>
      </c>
      <c r="D128" s="220"/>
      <c r="E128" s="220"/>
      <c r="F128" s="220"/>
      <c r="G128" s="252">
        <v>1.0999999999999999E-2</v>
      </c>
      <c r="H128" s="220"/>
    </row>
    <row r="129" spans="1:8" ht="12.75">
      <c r="A129" s="220"/>
      <c r="B129" s="221">
        <v>333</v>
      </c>
      <c r="C129" s="220" t="s">
        <v>996</v>
      </c>
      <c r="D129" s="220"/>
      <c r="E129" s="220"/>
      <c r="F129" s="220"/>
      <c r="G129" s="252">
        <v>1.0800000000000001E-2</v>
      </c>
      <c r="H129" s="220"/>
    </row>
    <row r="130" spans="1:8" ht="12.75">
      <c r="A130" s="220"/>
      <c r="B130" s="221">
        <v>334</v>
      </c>
      <c r="C130" s="220" t="s">
        <v>997</v>
      </c>
      <c r="D130" s="220"/>
      <c r="E130" s="220"/>
      <c r="F130" s="220"/>
      <c r="G130" s="252">
        <v>2.1600000000000001E-2</v>
      </c>
      <c r="H130" s="220"/>
    </row>
    <row r="131" spans="1:8" ht="12.75">
      <c r="A131" s="220"/>
      <c r="B131" s="221">
        <v>335</v>
      </c>
      <c r="C131" s="220" t="s">
        <v>998</v>
      </c>
      <c r="D131" s="220"/>
      <c r="E131" s="220"/>
      <c r="F131" s="220"/>
      <c r="G131" s="252">
        <v>2.6100000000000002E-2</v>
      </c>
      <c r="H131" s="220"/>
    </row>
    <row r="132" spans="1:8" ht="12.75">
      <c r="A132" s="220"/>
      <c r="B132" s="221">
        <v>336</v>
      </c>
      <c r="C132" s="220" t="s">
        <v>999</v>
      </c>
      <c r="D132" s="220"/>
      <c r="E132" s="220"/>
      <c r="F132" s="220"/>
      <c r="G132" s="252">
        <v>7.1000000000000004E-3</v>
      </c>
      <c r="H132" s="220"/>
    </row>
    <row r="133" spans="1:8" ht="12.75">
      <c r="A133" s="220"/>
      <c r="B133" s="220"/>
      <c r="C133" s="220"/>
      <c r="D133" s="220"/>
      <c r="E133" s="220"/>
      <c r="F133" s="220"/>
      <c r="G133" s="222"/>
      <c r="H133" s="220"/>
    </row>
    <row r="134" spans="1:8" ht="12.75">
      <c r="A134" s="220"/>
      <c r="B134" s="220"/>
      <c r="C134" s="220"/>
      <c r="D134" s="220"/>
      <c r="E134" s="220"/>
      <c r="F134" s="220"/>
      <c r="G134" s="220"/>
      <c r="H134" s="220"/>
    </row>
    <row r="135" spans="1:8" ht="12.75">
      <c r="A135" s="220" t="s">
        <v>1000</v>
      </c>
      <c r="B135" s="221">
        <v>331</v>
      </c>
      <c r="C135" s="220" t="s">
        <v>977</v>
      </c>
      <c r="D135" s="220"/>
      <c r="E135" s="220"/>
      <c r="F135" s="220"/>
      <c r="G135" s="253">
        <v>5.5399999999999998E-2</v>
      </c>
      <c r="H135" s="220"/>
    </row>
    <row r="136" spans="1:8" ht="12.75">
      <c r="A136" s="220"/>
      <c r="B136" s="221">
        <v>332</v>
      </c>
      <c r="C136" s="220" t="s">
        <v>995</v>
      </c>
      <c r="D136" s="220"/>
      <c r="E136" s="220"/>
      <c r="F136" s="220"/>
      <c r="G136" s="253">
        <v>6.8199999999999997E-2</v>
      </c>
      <c r="H136" s="220"/>
    </row>
    <row r="137" spans="1:8" ht="12.75">
      <c r="A137" s="220"/>
      <c r="B137" s="221">
        <v>333</v>
      </c>
      <c r="C137" s="220" t="s">
        <v>996</v>
      </c>
      <c r="D137" s="220"/>
      <c r="E137" s="220"/>
      <c r="F137" s="220"/>
      <c r="G137" s="253">
        <v>5.9299999999999999E-2</v>
      </c>
      <c r="H137" s="220"/>
    </row>
    <row r="138" spans="1:8" ht="12.75">
      <c r="A138" s="220"/>
      <c r="B138" s="221">
        <v>334</v>
      </c>
      <c r="C138" s="220" t="s">
        <v>997</v>
      </c>
      <c r="D138" s="220"/>
      <c r="E138" s="220"/>
      <c r="F138" s="220"/>
      <c r="G138" s="253">
        <v>4.1399999999999999E-2</v>
      </c>
      <c r="H138" s="220"/>
    </row>
    <row r="139" spans="1:8" ht="12.75">
      <c r="A139" s="220"/>
      <c r="B139" s="221">
        <v>335</v>
      </c>
      <c r="C139" s="220" t="s">
        <v>998</v>
      </c>
      <c r="D139" s="220"/>
      <c r="E139" s="220"/>
      <c r="F139" s="220"/>
      <c r="G139" s="253">
        <v>6.7299999999999999E-2</v>
      </c>
      <c r="H139" s="220"/>
    </row>
    <row r="140" spans="1:8" ht="12.75">
      <c r="A140" s="220"/>
      <c r="B140" s="220"/>
      <c r="C140" s="220"/>
      <c r="D140" s="220"/>
      <c r="E140" s="220"/>
      <c r="F140" s="220"/>
      <c r="G140" s="220"/>
      <c r="H140" s="220"/>
    </row>
    <row r="141" spans="1:8" ht="12.75">
      <c r="A141" s="220"/>
      <c r="B141" s="220"/>
      <c r="C141" s="220"/>
      <c r="D141" s="220"/>
      <c r="E141" s="220"/>
      <c r="F141" s="220"/>
      <c r="G141" s="220"/>
      <c r="H141" s="220"/>
    </row>
    <row r="142" spans="1:8" ht="12.75">
      <c r="A142" s="220" t="s">
        <v>1001</v>
      </c>
      <c r="B142" s="221">
        <v>331</v>
      </c>
      <c r="C142" s="220" t="s">
        <v>977</v>
      </c>
      <c r="D142" s="220"/>
      <c r="E142" s="220"/>
      <c r="F142" s="220"/>
      <c r="G142" s="254">
        <v>4.4900000000000002E-2</v>
      </c>
      <c r="H142" s="220"/>
    </row>
    <row r="143" spans="1:8" ht="12.75">
      <c r="A143" s="220"/>
      <c r="B143" s="221">
        <v>332</v>
      </c>
      <c r="C143" s="220" t="s">
        <v>995</v>
      </c>
      <c r="D143" s="220"/>
      <c r="E143" s="220"/>
      <c r="F143" s="220"/>
      <c r="G143" s="254">
        <v>4.9399999999999999E-2</v>
      </c>
      <c r="H143" s="220"/>
    </row>
    <row r="144" spans="1:8" ht="12.75">
      <c r="A144" s="220"/>
      <c r="B144" s="221">
        <v>333</v>
      </c>
      <c r="C144" s="220" t="s">
        <v>996</v>
      </c>
      <c r="D144" s="220"/>
      <c r="E144" s="220"/>
      <c r="F144" s="220"/>
      <c r="G144" s="254">
        <v>4.1000000000000002E-2</v>
      </c>
      <c r="H144" s="220"/>
    </row>
    <row r="145" spans="1:9" ht="12.75">
      <c r="A145" s="220"/>
      <c r="B145" s="221">
        <v>334</v>
      </c>
      <c r="C145" s="220" t="s">
        <v>997</v>
      </c>
      <c r="D145" s="220"/>
      <c r="E145" s="220"/>
      <c r="F145" s="220"/>
      <c r="G145" s="254">
        <v>4.5999999999999999E-2</v>
      </c>
      <c r="H145" s="220"/>
    </row>
    <row r="146" spans="1:9" ht="12.75">
      <c r="A146" s="220"/>
      <c r="B146" s="221">
        <v>335</v>
      </c>
      <c r="C146" s="220" t="s">
        <v>998</v>
      </c>
      <c r="D146" s="220"/>
      <c r="E146" s="220"/>
      <c r="F146" s="220"/>
      <c r="G146" s="254">
        <v>5.8400000000000001E-2</v>
      </c>
      <c r="H146" s="220"/>
    </row>
    <row r="147" spans="1:9" ht="12.75">
      <c r="A147" s="220"/>
      <c r="B147" s="221">
        <v>336</v>
      </c>
      <c r="C147" s="220" t="s">
        <v>999</v>
      </c>
      <c r="D147" s="220"/>
      <c r="E147" s="220"/>
      <c r="F147" s="220"/>
      <c r="G147" s="254">
        <v>4.7199999999999999E-2</v>
      </c>
      <c r="H147" s="220"/>
    </row>
    <row r="148" spans="1:9" ht="12.75">
      <c r="A148" s="220"/>
      <c r="B148" s="221"/>
      <c r="C148" s="220"/>
      <c r="D148" s="220"/>
      <c r="E148" s="220"/>
      <c r="F148" s="220"/>
      <c r="G148" s="222"/>
      <c r="H148" s="220"/>
    </row>
    <row r="149" spans="1:9" ht="12.75">
      <c r="A149" s="220"/>
      <c r="B149" s="221"/>
      <c r="C149" s="220"/>
      <c r="D149" s="220"/>
      <c r="E149" s="220"/>
      <c r="F149" s="220"/>
      <c r="G149" s="222"/>
      <c r="H149" s="220"/>
      <c r="I149" s="41" t="s">
        <v>972</v>
      </c>
    </row>
    <row r="150" spans="1:9" ht="12.75">
      <c r="A150" s="220"/>
      <c r="B150" s="221"/>
      <c r="C150" s="331" t="s">
        <v>814</v>
      </c>
      <c r="D150" s="339"/>
      <c r="E150" s="339"/>
      <c r="F150" s="339"/>
      <c r="G150" s="339"/>
      <c r="H150" s="220"/>
      <c r="I150" s="24" t="s">
        <v>973</v>
      </c>
    </row>
    <row r="151" spans="1:9" ht="12.75">
      <c r="A151" s="220"/>
      <c r="B151" s="221"/>
      <c r="C151" s="340" t="s">
        <v>811</v>
      </c>
      <c r="D151" s="340"/>
      <c r="E151" s="340"/>
      <c r="F151" s="340"/>
      <c r="G151" s="340"/>
      <c r="H151" s="220"/>
      <c r="I151" s="24" t="s">
        <v>1031</v>
      </c>
    </row>
    <row r="152" spans="1:9" ht="12.75">
      <c r="A152" s="220"/>
      <c r="B152" s="221"/>
      <c r="C152" s="19" t="s">
        <v>272</v>
      </c>
      <c r="D152" s="19" t="s">
        <v>1028</v>
      </c>
      <c r="E152" s="19"/>
      <c r="F152" s="19"/>
      <c r="G152" s="19"/>
      <c r="H152" s="220"/>
      <c r="I152" s="24"/>
    </row>
    <row r="153" spans="1:9" ht="12.75">
      <c r="A153" s="220"/>
      <c r="B153" s="221"/>
      <c r="C153" s="338" t="str">
        <f>+C5</f>
        <v>12 Months Ending 12/31/2010 (actuals)</v>
      </c>
      <c r="D153" s="339"/>
      <c r="E153" s="339"/>
      <c r="F153" s="339"/>
      <c r="G153" s="339"/>
      <c r="H153" s="220"/>
      <c r="I153" s="24"/>
    </row>
    <row r="154" spans="1:9" ht="12.75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 ht="12.75">
      <c r="A155" s="220"/>
      <c r="B155" s="221"/>
      <c r="C155" s="220"/>
      <c r="D155" s="220"/>
      <c r="E155" s="220"/>
      <c r="F155" s="220"/>
      <c r="G155" s="222"/>
      <c r="H155" s="220"/>
    </row>
    <row r="156" spans="1:9" ht="12.75">
      <c r="A156" s="220" t="s">
        <v>1002</v>
      </c>
      <c r="B156" s="221">
        <v>331</v>
      </c>
      <c r="C156" s="220" t="s">
        <v>977</v>
      </c>
      <c r="D156" s="220"/>
      <c r="E156" s="220"/>
      <c r="F156" s="220"/>
      <c r="G156" s="255">
        <v>2.58E-2</v>
      </c>
      <c r="H156" s="220"/>
    </row>
    <row r="157" spans="1:9" ht="12.75">
      <c r="A157" s="220"/>
      <c r="B157" s="221">
        <v>332</v>
      </c>
      <c r="C157" s="220" t="s">
        <v>995</v>
      </c>
      <c r="D157" s="220"/>
      <c r="E157" s="220"/>
      <c r="F157" s="220"/>
      <c r="G157" s="255">
        <v>5.0900000000000001E-2</v>
      </c>
      <c r="H157" s="220"/>
    </row>
    <row r="158" spans="1:9" ht="12.75">
      <c r="A158" s="220"/>
      <c r="B158" s="221">
        <v>333</v>
      </c>
      <c r="C158" s="220" t="s">
        <v>996</v>
      </c>
      <c r="D158" s="220"/>
      <c r="E158" s="220"/>
      <c r="F158" s="220"/>
      <c r="G158" s="255">
        <v>0.04</v>
      </c>
      <c r="H158" s="220"/>
    </row>
    <row r="159" spans="1:9" ht="12.75">
      <c r="A159" s="220"/>
      <c r="B159" s="221">
        <v>334</v>
      </c>
      <c r="C159" s="220" t="s">
        <v>997</v>
      </c>
      <c r="D159" s="220"/>
      <c r="E159" s="220"/>
      <c r="F159" s="220"/>
      <c r="G159" s="255">
        <v>4.8899999999999999E-2</v>
      </c>
      <c r="H159" s="220"/>
    </row>
    <row r="160" spans="1:9" ht="12.75">
      <c r="A160" s="220"/>
      <c r="B160" s="221">
        <v>335</v>
      </c>
      <c r="C160" s="220" t="s">
        <v>998</v>
      </c>
      <c r="D160" s="220"/>
      <c r="E160" s="220"/>
      <c r="F160" s="220"/>
      <c r="G160" s="255">
        <v>4.8300000000000003E-2</v>
      </c>
      <c r="H160" s="220"/>
    </row>
    <row r="161" spans="1:8" ht="12.75">
      <c r="A161" s="220"/>
      <c r="B161" s="220"/>
      <c r="C161" s="220"/>
      <c r="D161" s="220"/>
      <c r="E161" s="220"/>
      <c r="F161" s="220"/>
      <c r="G161" s="220"/>
      <c r="H161" s="220"/>
    </row>
    <row r="162" spans="1:8" ht="12.75">
      <c r="A162" s="220"/>
      <c r="B162" s="220"/>
      <c r="C162" s="220"/>
      <c r="D162" s="220"/>
      <c r="E162" s="220"/>
      <c r="F162" s="220"/>
      <c r="G162" s="220"/>
      <c r="H162" s="220"/>
    </row>
    <row r="163" spans="1:8" ht="12.75">
      <c r="A163" s="220" t="s">
        <v>1003</v>
      </c>
      <c r="B163" s="221">
        <v>331</v>
      </c>
      <c r="C163" s="220" t="s">
        <v>977</v>
      </c>
      <c r="D163" s="220"/>
      <c r="E163" s="220"/>
      <c r="F163" s="220"/>
      <c r="G163" s="256">
        <v>5.6599999999999998E-2</v>
      </c>
      <c r="H163" s="220"/>
    </row>
    <row r="164" spans="1:8" ht="12.75">
      <c r="A164" s="220"/>
      <c r="B164" s="221">
        <v>332</v>
      </c>
      <c r="C164" s="220" t="s">
        <v>995</v>
      </c>
      <c r="D164" s="220"/>
      <c r="E164" s="220"/>
      <c r="F164" s="220"/>
      <c r="G164" s="256">
        <v>5.7700000000000001E-2</v>
      </c>
      <c r="H164" s="220"/>
    </row>
    <row r="165" spans="1:8" ht="12.75">
      <c r="A165" s="220"/>
      <c r="B165" s="221">
        <v>333</v>
      </c>
      <c r="C165" s="220" t="s">
        <v>996</v>
      </c>
      <c r="D165" s="220"/>
      <c r="E165" s="220"/>
      <c r="F165" s="220"/>
      <c r="G165" s="256">
        <v>6.0400000000000002E-2</v>
      </c>
      <c r="H165" s="220"/>
    </row>
    <row r="166" spans="1:8" ht="12.75">
      <c r="A166" s="220"/>
      <c r="B166" s="221">
        <v>334</v>
      </c>
      <c r="C166" s="220" t="s">
        <v>997</v>
      </c>
      <c r="D166" s="220"/>
      <c r="E166" s="220"/>
      <c r="F166" s="220"/>
      <c r="G166" s="256">
        <v>5.04E-2</v>
      </c>
      <c r="H166" s="220"/>
    </row>
    <row r="167" spans="1:8" ht="12.75">
      <c r="A167" s="220"/>
      <c r="B167" s="221">
        <v>335</v>
      </c>
      <c r="C167" s="220" t="s">
        <v>998</v>
      </c>
      <c r="D167" s="220"/>
      <c r="E167" s="220"/>
      <c r="F167" s="220"/>
      <c r="G167" s="256">
        <v>6.6100000000000006E-2</v>
      </c>
      <c r="H167" s="220"/>
    </row>
    <row r="168" spans="1:8" ht="12.75">
      <c r="A168" s="220"/>
      <c r="B168" s="220"/>
      <c r="C168" s="220"/>
      <c r="D168" s="220"/>
      <c r="E168" s="220"/>
      <c r="F168" s="220"/>
      <c r="G168" s="220"/>
      <c r="H168" s="220"/>
    </row>
    <row r="169" spans="1:8" ht="12.75">
      <c r="A169" s="220"/>
      <c r="B169" s="220"/>
      <c r="C169" s="220"/>
      <c r="D169" s="220"/>
      <c r="E169" s="220"/>
      <c r="F169" s="220"/>
      <c r="G169" s="220"/>
      <c r="H169" s="220"/>
    </row>
    <row r="170" spans="1:8" ht="12.75">
      <c r="A170" s="220" t="s">
        <v>1004</v>
      </c>
      <c r="B170" s="221">
        <v>331</v>
      </c>
      <c r="C170" s="220" t="s">
        <v>977</v>
      </c>
      <c r="D170" s="220"/>
      <c r="E170" s="220"/>
      <c r="F170" s="220"/>
      <c r="G170" s="257">
        <v>1.04E-2</v>
      </c>
      <c r="H170" s="220"/>
    </row>
    <row r="171" spans="1:8" ht="12.75">
      <c r="A171" s="220"/>
      <c r="B171" s="221">
        <v>332</v>
      </c>
      <c r="C171" s="220" t="s">
        <v>995</v>
      </c>
      <c r="D171" s="220"/>
      <c r="E171" s="220"/>
      <c r="F171" s="220"/>
      <c r="G171" s="257">
        <v>1.66E-2</v>
      </c>
      <c r="H171" s="220"/>
    </row>
    <row r="172" spans="1:8" ht="12.75">
      <c r="A172" s="220"/>
      <c r="B172" s="221">
        <v>333</v>
      </c>
      <c r="C172" s="220" t="s">
        <v>996</v>
      </c>
      <c r="D172" s="220"/>
      <c r="E172" s="220"/>
      <c r="F172" s="220"/>
      <c r="G172" s="257">
        <v>1.3299999999999999E-2</v>
      </c>
      <c r="H172" s="220"/>
    </row>
    <row r="173" spans="1:8" ht="12.75">
      <c r="A173" s="220"/>
      <c r="B173" s="221">
        <v>334</v>
      </c>
      <c r="C173" s="220" t="s">
        <v>997</v>
      </c>
      <c r="D173" s="220"/>
      <c r="E173" s="220"/>
      <c r="F173" s="220"/>
      <c r="G173" s="257">
        <v>2.0899999999999998E-2</v>
      </c>
      <c r="H173" s="220"/>
    </row>
    <row r="174" spans="1:8" ht="12.75">
      <c r="A174" s="220"/>
      <c r="B174" s="221">
        <v>335</v>
      </c>
      <c r="C174" s="220" t="s">
        <v>998</v>
      </c>
      <c r="D174" s="220"/>
      <c r="E174" s="220"/>
      <c r="F174" s="220"/>
      <c r="G174" s="257">
        <v>2.12E-2</v>
      </c>
      <c r="H174" s="220"/>
    </row>
    <row r="175" spans="1:8" ht="12.75">
      <c r="A175" s="220"/>
      <c r="B175" s="221">
        <v>336</v>
      </c>
      <c r="C175" s="220" t="s">
        <v>999</v>
      </c>
      <c r="D175" s="220"/>
      <c r="E175" s="220"/>
      <c r="F175" s="220"/>
      <c r="G175" s="257">
        <v>9.2999999999999992E-3</v>
      </c>
      <c r="H175" s="220"/>
    </row>
    <row r="176" spans="1:8" ht="12.75">
      <c r="A176" s="220"/>
      <c r="B176" s="220"/>
      <c r="C176" s="220"/>
      <c r="D176" s="220"/>
      <c r="E176" s="220"/>
      <c r="F176" s="220"/>
      <c r="G176" s="220"/>
      <c r="H176" s="220"/>
    </row>
    <row r="177" spans="1:8" ht="12.75">
      <c r="A177" s="220"/>
      <c r="B177" s="220"/>
      <c r="C177" s="220"/>
      <c r="D177" s="220"/>
      <c r="E177" s="220"/>
      <c r="F177" s="220"/>
      <c r="G177" s="220"/>
      <c r="H177" s="220"/>
    </row>
    <row r="178" spans="1:8" ht="12.75">
      <c r="A178" s="220" t="s">
        <v>1005</v>
      </c>
      <c r="B178" s="221">
        <v>331</v>
      </c>
      <c r="C178" s="220" t="s">
        <v>977</v>
      </c>
      <c r="D178" s="220"/>
      <c r="E178" s="220"/>
      <c r="F178" s="220"/>
      <c r="G178" s="258">
        <v>2.6100000000000002E-2</v>
      </c>
      <c r="H178" s="220"/>
    </row>
    <row r="179" spans="1:8" ht="12.75">
      <c r="A179" s="220"/>
      <c r="B179" s="221">
        <v>332</v>
      </c>
      <c r="C179" s="220" t="s">
        <v>995</v>
      </c>
      <c r="D179" s="220"/>
      <c r="E179" s="220"/>
      <c r="F179" s="220"/>
      <c r="G179" s="258">
        <v>2.4E-2</v>
      </c>
      <c r="H179" s="220"/>
    </row>
    <row r="180" spans="1:8" ht="12.75">
      <c r="A180" s="220"/>
      <c r="B180" s="221">
        <v>333</v>
      </c>
      <c r="C180" s="220" t="s">
        <v>996</v>
      </c>
      <c r="D180" s="220"/>
      <c r="E180" s="220"/>
      <c r="F180" s="220"/>
      <c r="G180" s="258">
        <v>2.7199999999999998E-2</v>
      </c>
      <c r="H180" s="220"/>
    </row>
    <row r="181" spans="1:8" ht="12.75">
      <c r="A181" s="220"/>
      <c r="B181" s="221">
        <v>334</v>
      </c>
      <c r="C181" s="220" t="s">
        <v>997</v>
      </c>
      <c r="D181" s="220"/>
      <c r="E181" s="220"/>
      <c r="F181" s="220"/>
      <c r="G181" s="258">
        <v>2.5899999999999999E-2</v>
      </c>
      <c r="H181" s="220"/>
    </row>
    <row r="182" spans="1:8" ht="12.75">
      <c r="A182" s="220"/>
      <c r="B182" s="221">
        <v>335</v>
      </c>
      <c r="C182" s="220" t="s">
        <v>998</v>
      </c>
      <c r="D182" s="220"/>
      <c r="E182" s="220"/>
      <c r="F182" s="220"/>
      <c r="G182" s="258">
        <v>2.8000000000000001E-2</v>
      </c>
      <c r="H182" s="220"/>
    </row>
    <row r="183" spans="1:8" ht="12.75">
      <c r="A183" s="220"/>
      <c r="B183" s="221">
        <v>336</v>
      </c>
      <c r="C183" s="220" t="s">
        <v>999</v>
      </c>
      <c r="D183" s="220"/>
      <c r="E183" s="220"/>
      <c r="F183" s="220"/>
      <c r="G183" s="258">
        <v>1.6799999999999999E-2</v>
      </c>
      <c r="H183" s="220"/>
    </row>
    <row r="184" spans="1:8" ht="12.75">
      <c r="A184" s="220"/>
      <c r="B184" s="220"/>
      <c r="C184" s="220"/>
      <c r="D184" s="220"/>
      <c r="E184" s="220"/>
      <c r="F184" s="220"/>
      <c r="G184" s="220"/>
      <c r="H184" s="220"/>
    </row>
    <row r="185" spans="1:8" ht="12.75">
      <c r="A185" s="220"/>
      <c r="B185" s="220"/>
      <c r="C185" s="220"/>
      <c r="D185" s="220"/>
      <c r="E185" s="220"/>
      <c r="F185" s="220"/>
      <c r="G185" s="220"/>
      <c r="H185" s="220"/>
    </row>
    <row r="186" spans="1:8" ht="12.75">
      <c r="A186" s="220" t="s">
        <v>1006</v>
      </c>
      <c r="B186" s="221">
        <v>331</v>
      </c>
      <c r="C186" s="220" t="s">
        <v>977</v>
      </c>
      <c r="D186" s="220"/>
      <c r="E186" s="220"/>
      <c r="F186" s="220"/>
      <c r="G186" s="259">
        <v>2.0799999999999999E-2</v>
      </c>
      <c r="H186" s="220"/>
    </row>
    <row r="187" spans="1:8" ht="12.75">
      <c r="A187" s="220"/>
      <c r="B187" s="221">
        <v>332</v>
      </c>
      <c r="C187" s="220" t="s">
        <v>995</v>
      </c>
      <c r="D187" s="220"/>
      <c r="E187" s="220"/>
      <c r="F187" s="220"/>
      <c r="G187" s="259">
        <v>2.7300000000000001E-2</v>
      </c>
      <c r="H187" s="220"/>
    </row>
    <row r="188" spans="1:8" ht="12.75">
      <c r="A188" s="220"/>
      <c r="B188" s="221">
        <v>333</v>
      </c>
      <c r="C188" s="220" t="s">
        <v>996</v>
      </c>
      <c r="D188" s="220"/>
      <c r="E188" s="220"/>
      <c r="F188" s="220"/>
      <c r="G188" s="259">
        <v>2.8400000000000002E-2</v>
      </c>
      <c r="H188" s="220"/>
    </row>
    <row r="189" spans="1:8" ht="12.75">
      <c r="A189" s="220"/>
      <c r="B189" s="221">
        <v>334</v>
      </c>
      <c r="C189" s="220" t="s">
        <v>997</v>
      </c>
      <c r="D189" s="220"/>
      <c r="E189" s="220"/>
      <c r="F189" s="220"/>
      <c r="G189" s="259">
        <v>2.6200000000000001E-2</v>
      </c>
      <c r="H189" s="220"/>
    </row>
    <row r="190" spans="1:8" ht="12.75">
      <c r="A190" s="220"/>
      <c r="B190" s="221">
        <v>335</v>
      </c>
      <c r="C190" s="220" t="s">
        <v>998</v>
      </c>
      <c r="D190" s="220"/>
      <c r="E190" s="220"/>
      <c r="F190" s="220"/>
      <c r="G190" s="259">
        <v>2.7300000000000001E-2</v>
      </c>
      <c r="H190" s="220"/>
    </row>
    <row r="191" spans="1:8" ht="12.75">
      <c r="A191" s="220"/>
      <c r="B191" s="221">
        <v>336</v>
      </c>
      <c r="C191" s="220" t="s">
        <v>999</v>
      </c>
      <c r="D191" s="220"/>
      <c r="E191" s="220"/>
      <c r="F191" s="220"/>
      <c r="G191" s="259">
        <v>1.7100000000000001E-2</v>
      </c>
      <c r="H191" s="220"/>
    </row>
    <row r="192" spans="1:8" ht="12.75">
      <c r="A192" s="220"/>
      <c r="B192" s="221"/>
      <c r="C192" s="220"/>
      <c r="D192" s="220"/>
      <c r="E192" s="220"/>
      <c r="F192" s="220"/>
      <c r="G192" s="222"/>
      <c r="H192" s="220"/>
    </row>
    <row r="193" spans="1:9" ht="12.75">
      <c r="A193" s="220"/>
      <c r="B193" s="221"/>
      <c r="C193" s="220"/>
      <c r="D193" s="220"/>
      <c r="E193" s="220"/>
      <c r="F193" s="220"/>
      <c r="G193" s="222"/>
      <c r="H193" s="220"/>
      <c r="I193" s="41" t="s">
        <v>972</v>
      </c>
    </row>
    <row r="194" spans="1:9" ht="12.75">
      <c r="A194" s="220"/>
      <c r="B194" s="221"/>
      <c r="C194" s="331" t="s">
        <v>814</v>
      </c>
      <c r="D194" s="339"/>
      <c r="E194" s="339"/>
      <c r="F194" s="339"/>
      <c r="G194" s="339"/>
      <c r="H194" s="220"/>
      <c r="I194" s="24" t="s">
        <v>973</v>
      </c>
    </row>
    <row r="195" spans="1:9" ht="12.75">
      <c r="A195" s="220"/>
      <c r="B195" s="221"/>
      <c r="C195" s="340" t="s">
        <v>811</v>
      </c>
      <c r="D195" s="340"/>
      <c r="E195" s="340"/>
      <c r="F195" s="340"/>
      <c r="G195" s="340"/>
      <c r="H195" s="220"/>
      <c r="I195" s="24" t="s">
        <v>1032</v>
      </c>
    </row>
    <row r="196" spans="1:9" ht="12.75">
      <c r="A196" s="220"/>
      <c r="B196" s="221"/>
      <c r="C196" s="19" t="s">
        <v>272</v>
      </c>
      <c r="D196" s="19" t="s">
        <v>1028</v>
      </c>
      <c r="E196" s="19"/>
      <c r="F196" s="19"/>
      <c r="G196" s="19"/>
      <c r="H196" s="220"/>
    </row>
    <row r="197" spans="1:9" ht="12.75">
      <c r="A197" s="220"/>
      <c r="B197" s="220"/>
      <c r="C197" s="338" t="str">
        <f>+C5</f>
        <v>12 Months Ending 12/31/2010 (actuals)</v>
      </c>
      <c r="D197" s="339"/>
      <c r="E197" s="339"/>
      <c r="F197" s="339"/>
      <c r="G197" s="339"/>
      <c r="H197" s="220"/>
    </row>
    <row r="198" spans="1:9" ht="12.75">
      <c r="A198" s="220"/>
      <c r="B198" s="220"/>
      <c r="C198" s="112"/>
      <c r="D198" s="223"/>
      <c r="E198" s="223"/>
      <c r="F198" s="223"/>
      <c r="G198" s="223"/>
      <c r="H198" s="220"/>
    </row>
    <row r="199" spans="1:9" ht="12.75">
      <c r="A199" s="220"/>
      <c r="B199" s="220"/>
      <c r="C199" s="220"/>
      <c r="D199" s="220"/>
      <c r="E199" s="220"/>
      <c r="F199" s="220"/>
      <c r="G199" s="220"/>
      <c r="H199" s="220"/>
    </row>
    <row r="200" spans="1:9" ht="12.75">
      <c r="A200" s="220" t="s">
        <v>1007</v>
      </c>
      <c r="B200" s="221">
        <v>331</v>
      </c>
      <c r="C200" s="220" t="s">
        <v>977</v>
      </c>
      <c r="D200" s="220"/>
      <c r="E200" s="220"/>
      <c r="F200" s="220"/>
      <c r="G200" s="261">
        <v>2.3199999999999998E-2</v>
      </c>
      <c r="H200" s="220"/>
    </row>
    <row r="201" spans="1:9" ht="12.75">
      <c r="A201" s="220"/>
      <c r="B201" s="221">
        <v>332</v>
      </c>
      <c r="C201" s="220" t="s">
        <v>995</v>
      </c>
      <c r="D201" s="220"/>
      <c r="E201" s="220"/>
      <c r="F201" s="220"/>
      <c r="G201" s="261">
        <v>2.1399999999999999E-2</v>
      </c>
      <c r="H201" s="220"/>
    </row>
    <row r="202" spans="1:9" ht="12.75">
      <c r="A202" s="220"/>
      <c r="B202" s="221">
        <v>333</v>
      </c>
      <c r="C202" s="220" t="s">
        <v>996</v>
      </c>
      <c r="D202" s="220"/>
      <c r="E202" s="220"/>
      <c r="F202" s="220"/>
      <c r="G202" s="261">
        <v>2.46E-2</v>
      </c>
      <c r="H202" s="220"/>
    </row>
    <row r="203" spans="1:9" ht="12.75">
      <c r="A203" s="220"/>
      <c r="B203" s="221">
        <v>334</v>
      </c>
      <c r="C203" s="220" t="s">
        <v>997</v>
      </c>
      <c r="D203" s="220"/>
      <c r="E203" s="220"/>
      <c r="F203" s="220"/>
      <c r="G203" s="261">
        <v>2.4E-2</v>
      </c>
      <c r="H203" s="220"/>
    </row>
    <row r="204" spans="1:9" ht="12.75">
      <c r="A204" s="220"/>
      <c r="B204" s="221">
        <v>335</v>
      </c>
      <c r="C204" s="220" t="s">
        <v>998</v>
      </c>
      <c r="D204" s="220"/>
      <c r="E204" s="220"/>
      <c r="F204" s="220"/>
      <c r="G204" s="261">
        <v>2.2599999999999999E-2</v>
      </c>
      <c r="H204" s="220"/>
    </row>
    <row r="205" spans="1:9" ht="12.75">
      <c r="A205" s="220"/>
      <c r="B205" s="221">
        <v>336</v>
      </c>
      <c r="C205" s="220" t="s">
        <v>999</v>
      </c>
      <c r="D205" s="220"/>
      <c r="E205" s="220"/>
      <c r="F205" s="220"/>
      <c r="G205" s="261">
        <v>2.4400000000000002E-2</v>
      </c>
      <c r="H205" s="220"/>
    </row>
    <row r="206" spans="1:9" ht="12.75">
      <c r="A206" s="220"/>
      <c r="B206" s="220"/>
      <c r="C206" s="220"/>
      <c r="D206" s="220"/>
      <c r="E206" s="220"/>
      <c r="F206" s="220"/>
      <c r="G206" s="260"/>
      <c r="H206" s="220"/>
    </row>
    <row r="207" spans="1:9" ht="12.75">
      <c r="A207" s="220"/>
      <c r="B207" s="220"/>
      <c r="C207" s="220"/>
      <c r="D207" s="220"/>
      <c r="E207" s="220"/>
      <c r="F207" s="220"/>
      <c r="G207" s="220"/>
      <c r="H207" s="220"/>
    </row>
    <row r="208" spans="1:9" ht="12.75">
      <c r="A208" s="220" t="s">
        <v>1008</v>
      </c>
      <c r="B208" s="221">
        <v>331</v>
      </c>
      <c r="C208" s="220" t="s">
        <v>977</v>
      </c>
      <c r="D208" s="220"/>
      <c r="E208" s="220"/>
      <c r="F208" s="220"/>
      <c r="G208" s="262">
        <v>1.3100000000000001E-2</v>
      </c>
      <c r="H208" s="220"/>
    </row>
    <row r="209" spans="1:8" ht="12.75">
      <c r="A209" s="220"/>
      <c r="B209" s="221">
        <v>332</v>
      </c>
      <c r="C209" s="220" t="s">
        <v>995</v>
      </c>
      <c r="D209" s="220"/>
      <c r="E209" s="220"/>
      <c r="F209" s="220"/>
      <c r="G209" s="262">
        <v>1.2200000000000001E-2</v>
      </c>
      <c r="H209" s="220"/>
    </row>
    <row r="210" spans="1:8" ht="12.75">
      <c r="A210" s="220"/>
      <c r="B210" s="221">
        <v>333</v>
      </c>
      <c r="C210" s="220" t="s">
        <v>996</v>
      </c>
      <c r="D210" s="220"/>
      <c r="E210" s="220"/>
      <c r="F210" s="220"/>
      <c r="G210" s="262">
        <v>2.24E-2</v>
      </c>
      <c r="H210" s="220"/>
    </row>
    <row r="211" spans="1:8" ht="12.75">
      <c r="A211" s="220"/>
      <c r="B211" s="221">
        <v>334</v>
      </c>
      <c r="C211" s="220" t="s">
        <v>997</v>
      </c>
      <c r="D211" s="220"/>
      <c r="E211" s="220"/>
      <c r="F211" s="220"/>
      <c r="G211" s="262">
        <v>2.4500000000000001E-2</v>
      </c>
      <c r="H211" s="220"/>
    </row>
    <row r="212" spans="1:8" ht="12.75">
      <c r="A212" s="220"/>
      <c r="B212" s="221">
        <v>335</v>
      </c>
      <c r="C212" s="220" t="s">
        <v>998</v>
      </c>
      <c r="D212" s="220"/>
      <c r="E212" s="220"/>
      <c r="F212" s="220"/>
      <c r="G212" s="262">
        <v>2.6700000000000002E-2</v>
      </c>
      <c r="H212" s="220"/>
    </row>
    <row r="213" spans="1:8" ht="12.75">
      <c r="A213" s="220"/>
      <c r="B213" s="221">
        <v>336</v>
      </c>
      <c r="C213" s="220" t="s">
        <v>999</v>
      </c>
      <c r="D213" s="220"/>
      <c r="E213" s="220"/>
      <c r="F213" s="220"/>
      <c r="G213" s="262">
        <v>1.09E-2</v>
      </c>
      <c r="H213" s="220"/>
    </row>
    <row r="214" spans="1:8" ht="12.75">
      <c r="A214" s="220"/>
      <c r="B214" s="220"/>
      <c r="C214" s="220"/>
      <c r="D214" s="220"/>
      <c r="E214" s="220"/>
      <c r="F214" s="220"/>
      <c r="G214" s="220"/>
      <c r="H214" s="220"/>
    </row>
    <row r="215" spans="1:8" ht="12.75">
      <c r="A215" s="220"/>
      <c r="B215" s="220"/>
      <c r="C215" s="220"/>
      <c r="D215" s="220"/>
      <c r="E215" s="220"/>
      <c r="F215" s="220"/>
      <c r="G215" s="220"/>
      <c r="H215" s="220"/>
    </row>
    <row r="216" spans="1:8" ht="12.75">
      <c r="A216" s="220" t="s">
        <v>1009</v>
      </c>
      <c r="B216" s="220"/>
      <c r="C216" s="220"/>
      <c r="D216" s="220"/>
      <c r="E216" s="220"/>
      <c r="F216" s="220"/>
      <c r="G216" s="220"/>
      <c r="H216" s="220"/>
    </row>
    <row r="217" spans="1:8" ht="12.75">
      <c r="A217" s="220"/>
      <c r="B217" s="220"/>
      <c r="C217" s="220"/>
      <c r="D217" s="220"/>
      <c r="E217" s="220"/>
      <c r="F217" s="220"/>
      <c r="G217" s="220"/>
      <c r="H217" s="220"/>
    </row>
    <row r="218" spans="1:8" ht="12.75">
      <c r="A218" s="220" t="s">
        <v>1010</v>
      </c>
      <c r="B218" s="221">
        <v>341</v>
      </c>
      <c r="C218" s="220" t="s">
        <v>977</v>
      </c>
      <c r="D218" s="220"/>
      <c r="E218" s="220"/>
      <c r="F218" s="220"/>
      <c r="G218" s="267">
        <v>1.3299999999999999E-2</v>
      </c>
      <c r="H218" s="220"/>
    </row>
    <row r="219" spans="1:8" ht="12.75">
      <c r="A219" s="220"/>
      <c r="B219" s="221">
        <v>344</v>
      </c>
      <c r="C219" s="220" t="s">
        <v>1011</v>
      </c>
      <c r="D219" s="220"/>
      <c r="E219" s="220"/>
      <c r="F219" s="220"/>
      <c r="G219" s="267">
        <v>1.44E-2</v>
      </c>
      <c r="H219" s="220"/>
    </row>
    <row r="220" spans="1:8" ht="12.75">
      <c r="A220" s="220"/>
      <c r="B220" s="221">
        <v>345</v>
      </c>
      <c r="C220" s="220" t="s">
        <v>1012</v>
      </c>
      <c r="D220" s="220"/>
      <c r="E220" s="220"/>
      <c r="F220" s="220"/>
      <c r="G220" s="267">
        <v>1.35E-2</v>
      </c>
      <c r="H220" s="220"/>
    </row>
    <row r="221" spans="1:8" ht="12.75">
      <c r="A221" s="220"/>
      <c r="B221" s="221">
        <v>346</v>
      </c>
      <c r="C221" s="220" t="s">
        <v>1013</v>
      </c>
      <c r="D221" s="220"/>
      <c r="E221" s="220"/>
      <c r="F221" s="220"/>
      <c r="G221" s="267">
        <v>2.8400000000000002E-2</v>
      </c>
      <c r="H221" s="220"/>
    </row>
    <row r="222" spans="1:8" s="263" customFormat="1" ht="12.75">
      <c r="A222" s="264"/>
      <c r="B222" s="265"/>
      <c r="C222" s="264"/>
      <c r="D222" s="264"/>
      <c r="E222" s="264"/>
      <c r="F222" s="264"/>
      <c r="G222" s="267"/>
      <c r="H222" s="264"/>
    </row>
    <row r="223" spans="1:8" s="263" customFormat="1" ht="12.75">
      <c r="A223" s="264"/>
      <c r="B223" s="265"/>
      <c r="C223" s="264"/>
      <c r="D223" s="264"/>
      <c r="E223" s="264"/>
      <c r="F223" s="264"/>
      <c r="G223" s="267"/>
      <c r="H223" s="264"/>
    </row>
    <row r="224" spans="1:8" s="263" customFormat="1" ht="12.75">
      <c r="A224" s="270" t="s">
        <v>1131</v>
      </c>
      <c r="B224" s="271">
        <v>341</v>
      </c>
      <c r="C224" s="270" t="s">
        <v>977</v>
      </c>
      <c r="D224" s="270"/>
      <c r="E224" s="270"/>
      <c r="F224" s="270"/>
      <c r="G224" s="273">
        <v>2.87E-2</v>
      </c>
      <c r="H224" s="264"/>
    </row>
    <row r="225" spans="1:9" s="263" customFormat="1" ht="12.75">
      <c r="A225" s="270"/>
      <c r="B225" s="271">
        <v>342</v>
      </c>
      <c r="C225" s="270" t="s">
        <v>1132</v>
      </c>
      <c r="D225" s="270"/>
      <c r="E225" s="270"/>
      <c r="F225" s="270"/>
      <c r="G225" s="273">
        <v>2.8799999999999999E-2</v>
      </c>
      <c r="H225" s="264"/>
    </row>
    <row r="226" spans="1:9" s="263" customFormat="1" ht="12.75">
      <c r="A226" s="270"/>
      <c r="B226" s="271">
        <v>344</v>
      </c>
      <c r="C226" s="270" t="s">
        <v>1011</v>
      </c>
      <c r="D226" s="270"/>
      <c r="E226" s="270"/>
      <c r="F226" s="270"/>
      <c r="G226" s="273">
        <v>2.87E-2</v>
      </c>
      <c r="H226" s="264"/>
    </row>
    <row r="227" spans="1:9" s="263" customFormat="1" ht="12.75">
      <c r="A227" s="270"/>
      <c r="B227" s="271">
        <v>345</v>
      </c>
      <c r="C227" s="270" t="s">
        <v>1012</v>
      </c>
      <c r="D227" s="270"/>
      <c r="E227" s="270"/>
      <c r="F227" s="270"/>
      <c r="G227" s="273">
        <v>2.8899999999999999E-2</v>
      </c>
      <c r="H227" s="264"/>
    </row>
    <row r="228" spans="1:9" ht="12.75">
      <c r="A228" s="270"/>
      <c r="B228" s="271">
        <v>346</v>
      </c>
      <c r="C228" s="270" t="s">
        <v>1013</v>
      </c>
      <c r="D228" s="270"/>
      <c r="E228" s="270"/>
      <c r="F228" s="270"/>
      <c r="G228" s="273">
        <v>3.49E-2</v>
      </c>
      <c r="H228" s="220"/>
    </row>
    <row r="229" spans="1:9" ht="12.75">
      <c r="A229" s="220"/>
      <c r="B229" s="220"/>
      <c r="C229" s="220"/>
      <c r="D229" s="220"/>
      <c r="E229" s="220"/>
      <c r="F229" s="220"/>
      <c r="G229" s="220"/>
      <c r="H229" s="220"/>
    </row>
    <row r="230" spans="1:9" ht="12.75">
      <c r="A230" s="220"/>
      <c r="B230" s="221"/>
      <c r="C230" s="220"/>
      <c r="D230" s="220"/>
      <c r="E230" s="220"/>
      <c r="F230" s="220"/>
      <c r="G230" s="222"/>
      <c r="H230" s="220"/>
    </row>
    <row r="231" spans="1:9" ht="12.75">
      <c r="A231" s="220"/>
      <c r="B231" s="221"/>
      <c r="C231" s="220"/>
      <c r="D231" s="220"/>
      <c r="E231" s="220"/>
      <c r="F231" s="220"/>
      <c r="G231" s="222"/>
      <c r="H231" s="220"/>
      <c r="I231" s="41" t="s">
        <v>972</v>
      </c>
    </row>
    <row r="232" spans="1:9" ht="12.75">
      <c r="A232" s="220"/>
      <c r="B232" s="221"/>
      <c r="C232" s="331" t="s">
        <v>814</v>
      </c>
      <c r="D232" s="339"/>
      <c r="E232" s="339"/>
      <c r="F232" s="339"/>
      <c r="G232" s="339"/>
      <c r="H232" s="220"/>
      <c r="I232" s="24" t="s">
        <v>973</v>
      </c>
    </row>
    <row r="233" spans="1:9" ht="12.75">
      <c r="A233" s="220"/>
      <c r="B233" s="221"/>
      <c r="C233" s="340" t="s">
        <v>811</v>
      </c>
      <c r="D233" s="340"/>
      <c r="E233" s="340"/>
      <c r="F233" s="340"/>
      <c r="G233" s="340"/>
      <c r="H233" s="220"/>
      <c r="I233" s="24" t="s">
        <v>1033</v>
      </c>
    </row>
    <row r="234" spans="1:9" ht="12.75">
      <c r="A234" s="220"/>
      <c r="B234" s="221"/>
      <c r="C234" s="19" t="s">
        <v>272</v>
      </c>
      <c r="D234" s="19" t="s">
        <v>1028</v>
      </c>
      <c r="E234" s="19"/>
      <c r="F234" s="19"/>
      <c r="G234" s="19"/>
      <c r="H234" s="220"/>
      <c r="I234" s="24"/>
    </row>
    <row r="235" spans="1:9" ht="12.75">
      <c r="A235" s="220"/>
      <c r="B235" s="221"/>
      <c r="C235" s="338" t="str">
        <f>+C5</f>
        <v>12 Months Ending 12/31/2010 (actuals)</v>
      </c>
      <c r="D235" s="339"/>
      <c r="E235" s="339"/>
      <c r="F235" s="339"/>
      <c r="G235" s="339"/>
      <c r="H235" s="220"/>
      <c r="I235" s="24"/>
    </row>
    <row r="236" spans="1:9" ht="12.75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 ht="12.75">
      <c r="A237" s="220" t="s">
        <v>1014</v>
      </c>
      <c r="B237" s="220"/>
      <c r="C237" s="220"/>
      <c r="D237" s="220"/>
      <c r="E237" s="220"/>
      <c r="F237" s="220"/>
      <c r="G237" s="220"/>
      <c r="H237" s="220"/>
    </row>
    <row r="238" spans="1:9" ht="12.75">
      <c r="A238" s="220"/>
      <c r="B238" s="221">
        <v>390</v>
      </c>
      <c r="C238" s="220" t="s">
        <v>977</v>
      </c>
      <c r="D238" s="220"/>
      <c r="E238" s="220"/>
      <c r="F238" s="220"/>
      <c r="G238" s="266">
        <v>1.5100000000000001E-2</v>
      </c>
      <c r="H238" s="220"/>
    </row>
    <row r="239" spans="1:9" ht="12.75">
      <c r="A239" s="220"/>
      <c r="B239" s="221">
        <v>391</v>
      </c>
      <c r="C239" s="220" t="s">
        <v>1015</v>
      </c>
      <c r="D239" s="220"/>
      <c r="E239" s="220"/>
      <c r="F239" s="220"/>
      <c r="G239" s="266">
        <v>2.8899999999999999E-2</v>
      </c>
      <c r="H239" s="220"/>
    </row>
    <row r="240" spans="1:9" ht="12.75">
      <c r="A240" s="220"/>
      <c r="B240" s="221">
        <v>392</v>
      </c>
      <c r="C240" s="220" t="s">
        <v>1016</v>
      </c>
      <c r="D240" s="220"/>
      <c r="E240" s="220"/>
      <c r="F240" s="220"/>
      <c r="G240" s="266">
        <v>1.8200000000000001E-2</v>
      </c>
      <c r="H240" s="220"/>
    </row>
    <row r="241" spans="1:8" ht="12.75">
      <c r="A241" s="220"/>
      <c r="B241" s="221">
        <v>393</v>
      </c>
      <c r="C241" s="220" t="s">
        <v>303</v>
      </c>
      <c r="D241" s="220"/>
      <c r="E241" s="220"/>
      <c r="F241" s="220"/>
      <c r="G241" s="266">
        <v>1.7600000000000001E-2</v>
      </c>
      <c r="H241" s="220"/>
    </row>
    <row r="242" spans="1:8" ht="12.75">
      <c r="A242" s="220"/>
      <c r="B242" s="221">
        <v>394</v>
      </c>
      <c r="C242" s="220" t="s">
        <v>1017</v>
      </c>
      <c r="D242" s="220"/>
      <c r="E242" s="220"/>
      <c r="F242" s="220"/>
      <c r="G242" s="266">
        <v>2.3599999999999999E-2</v>
      </c>
      <c r="H242" s="220"/>
    </row>
    <row r="243" spans="1:8" ht="12.75">
      <c r="A243" s="220"/>
      <c r="B243" s="221">
        <v>395</v>
      </c>
      <c r="C243" s="220" t="s">
        <v>1018</v>
      </c>
      <c r="D243" s="220"/>
      <c r="E243" s="220"/>
      <c r="F243" s="220"/>
      <c r="G243" s="266">
        <v>2.6499999999999999E-2</v>
      </c>
      <c r="H243" s="220"/>
    </row>
    <row r="244" spans="1:8" ht="12.75">
      <c r="A244" s="220"/>
      <c r="B244" s="221">
        <v>396</v>
      </c>
      <c r="C244" s="220" t="s">
        <v>1019</v>
      </c>
      <c r="D244" s="220"/>
      <c r="E244" s="220"/>
      <c r="F244" s="220"/>
      <c r="G244" s="266">
        <v>1.9099999999999999E-2</v>
      </c>
      <c r="H244" s="220"/>
    </row>
    <row r="245" spans="1:8" ht="12.75">
      <c r="A245" s="220"/>
      <c r="B245" s="221">
        <v>397</v>
      </c>
      <c r="C245" s="220" t="s">
        <v>1020</v>
      </c>
      <c r="D245" s="220"/>
      <c r="E245" s="220"/>
      <c r="F245" s="220"/>
      <c r="G245" s="266">
        <v>4.0599999999999997E-2</v>
      </c>
      <c r="H245" s="220"/>
    </row>
    <row r="246" spans="1:8" ht="12.75">
      <c r="A246" s="220"/>
      <c r="B246" s="221">
        <v>398</v>
      </c>
      <c r="C246" s="220" t="s">
        <v>1021</v>
      </c>
      <c r="D246" s="220"/>
      <c r="E246" s="220"/>
      <c r="F246" s="220"/>
      <c r="G246" s="266">
        <v>2.6200000000000001E-2</v>
      </c>
      <c r="H246" s="220"/>
    </row>
    <row r="247" spans="1:8" s="269" customFormat="1" ht="12.75">
      <c r="A247" s="270"/>
      <c r="B247" s="271"/>
      <c r="C247" s="270"/>
      <c r="D247" s="270"/>
      <c r="E247" s="270"/>
      <c r="F247" s="270"/>
      <c r="G247" s="272"/>
      <c r="H247" s="270"/>
    </row>
    <row r="248" spans="1:8" ht="12.75">
      <c r="A248" s="220"/>
      <c r="B248" s="220"/>
      <c r="C248" s="220"/>
      <c r="D248" s="220"/>
      <c r="E248" s="220"/>
      <c r="F248" s="220"/>
      <c r="G248" s="220"/>
      <c r="H248" s="220"/>
    </row>
    <row r="249" spans="1:8" ht="12.75">
      <c r="A249" s="220" t="s">
        <v>1022</v>
      </c>
      <c r="B249" s="220"/>
      <c r="C249" s="220"/>
      <c r="D249" s="220"/>
      <c r="E249" s="220"/>
      <c r="F249" s="220"/>
      <c r="G249" s="220"/>
      <c r="H249" s="220"/>
    </row>
    <row r="250" spans="1:8" ht="12.75">
      <c r="A250" s="220"/>
      <c r="B250" s="221">
        <v>301</v>
      </c>
      <c r="C250" s="220" t="s">
        <v>1023</v>
      </c>
      <c r="D250" s="220"/>
      <c r="E250" s="220"/>
      <c r="F250" s="220"/>
      <c r="G250" s="268">
        <v>0</v>
      </c>
      <c r="H250" s="220"/>
    </row>
    <row r="251" spans="1:8" ht="12.75">
      <c r="A251" s="220"/>
      <c r="B251" s="221">
        <v>302</v>
      </c>
      <c r="C251" s="220" t="s">
        <v>1024</v>
      </c>
      <c r="D251" s="220"/>
      <c r="E251" s="220"/>
      <c r="F251" s="220"/>
      <c r="G251" s="268" t="s">
        <v>1130</v>
      </c>
      <c r="H251" s="220"/>
    </row>
    <row r="252" spans="1:8" ht="12.75">
      <c r="A252" s="220"/>
      <c r="B252" s="221">
        <v>303</v>
      </c>
      <c r="C252" s="220" t="s">
        <v>1025</v>
      </c>
      <c r="D252" s="220"/>
      <c r="E252" s="220"/>
      <c r="F252" s="220"/>
      <c r="G252" s="268">
        <v>0.2</v>
      </c>
      <c r="H252" s="220"/>
    </row>
    <row r="253" spans="1:8" ht="12.75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  <mergeCell ref="C55:G55"/>
    <mergeCell ref="C2:G2"/>
    <mergeCell ref="C3:G3"/>
    <mergeCell ref="C5:G5"/>
    <mergeCell ref="C52:G52"/>
    <mergeCell ref="C53:G5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I33"/>
  <sheetViews>
    <sheetView zoomScaleNormal="100" workbookViewId="0">
      <selection activeCell="N26" sqref="N26"/>
    </sheetView>
  </sheetViews>
  <sheetFormatPr defaultColWidth="9" defaultRowHeight="12"/>
  <cols>
    <col min="1" max="2" width="9" style="37"/>
    <col min="3" max="3" width="11.75" style="37" bestFit="1" customWidth="1"/>
    <col min="4" max="4" width="10.875" style="37" customWidth="1"/>
    <col min="5" max="5" width="14.875" style="37" customWidth="1"/>
    <col min="6" max="6" width="12.25" style="37" customWidth="1"/>
    <col min="7" max="7" width="7.875" style="37" customWidth="1"/>
    <col min="8" max="8" width="10.125" style="37" customWidth="1"/>
    <col min="9" max="9" width="9.375" style="37" customWidth="1"/>
    <col min="10" max="10" width="12.625" style="37" customWidth="1"/>
    <col min="11" max="11" width="9" style="37"/>
    <col min="12" max="12" width="12.625" style="37" customWidth="1"/>
    <col min="13" max="13" width="3.625" style="37" customWidth="1"/>
    <col min="14" max="14" width="9" style="37"/>
    <col min="15" max="15" width="5.625" style="37" customWidth="1"/>
    <col min="16" max="16" width="33.625" style="37" customWidth="1"/>
    <col min="17" max="17" width="3.625" style="37" customWidth="1"/>
    <col min="18" max="18" width="13.625" style="37" customWidth="1"/>
    <col min="19" max="16384" width="9" style="37"/>
  </cols>
  <sheetData>
    <row r="1" spans="1:35" ht="12.75">
      <c r="E1" s="18" t="s">
        <v>972</v>
      </c>
      <c r="G1" s="2" t="s">
        <v>411</v>
      </c>
      <c r="H1" s="3"/>
      <c r="I1" s="3"/>
      <c r="J1" s="3"/>
      <c r="K1" s="3"/>
      <c r="L1" s="18" t="s">
        <v>972</v>
      </c>
      <c r="W1" s="37" t="s">
        <v>784</v>
      </c>
      <c r="AC1" s="37" t="s">
        <v>784</v>
      </c>
      <c r="AI1" s="37" t="s">
        <v>784</v>
      </c>
    </row>
    <row r="2" spans="1:35" ht="12.75">
      <c r="B2"/>
      <c r="C2" s="3"/>
      <c r="E2" s="18" t="s">
        <v>410</v>
      </c>
      <c r="G2" s="4" t="s">
        <v>835</v>
      </c>
      <c r="H2" s="3"/>
      <c r="I2" s="3"/>
      <c r="J2" s="3"/>
      <c r="K2" s="3"/>
      <c r="L2" s="18" t="s">
        <v>24</v>
      </c>
    </row>
    <row r="3" spans="1:35" ht="12.75">
      <c r="A3" s="331" t="s">
        <v>814</v>
      </c>
      <c r="B3" s="339"/>
      <c r="C3" s="339"/>
      <c r="D3" s="339"/>
      <c r="E3" s="339"/>
      <c r="F3" s="3"/>
      <c r="G3" s="30" t="str">
        <f>INPUT!$B$2</f>
        <v>12 Months Ending 12/31/2021 (actuals) for 2022</v>
      </c>
      <c r="I3" s="3"/>
      <c r="K3" s="3"/>
      <c r="L3" s="3"/>
    </row>
    <row r="4" spans="1:35" ht="12.75">
      <c r="A4" s="340" t="s">
        <v>811</v>
      </c>
      <c r="B4" s="340"/>
      <c r="C4" s="340"/>
      <c r="D4" s="340"/>
      <c r="E4" s="340"/>
      <c r="F4" s="3"/>
      <c r="H4" s="3"/>
      <c r="I4" s="3"/>
      <c r="J4" s="3"/>
      <c r="K4" s="3"/>
      <c r="L4" s="3"/>
    </row>
    <row r="5" spans="1:35" ht="12.75">
      <c r="A5" s="338" t="s">
        <v>1152</v>
      </c>
      <c r="B5" s="339"/>
      <c r="C5" s="339"/>
      <c r="D5" s="339"/>
      <c r="E5" s="339"/>
      <c r="F5" s="3"/>
      <c r="G5" s="3"/>
      <c r="H5" s="3"/>
      <c r="I5" s="3"/>
      <c r="J5" s="3"/>
      <c r="K5" s="3"/>
      <c r="L5" s="3"/>
    </row>
    <row r="6" spans="1:35" ht="12.75">
      <c r="G6" s="2" t="s">
        <v>373</v>
      </c>
      <c r="H6" s="2" t="s">
        <v>717</v>
      </c>
      <c r="I6" s="3"/>
      <c r="J6" s="3"/>
      <c r="K6" s="3"/>
      <c r="L6" s="3"/>
    </row>
    <row r="7" spans="1:35" ht="12.7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 ht="12.75">
      <c r="A8" s="3"/>
      <c r="B8" s="3"/>
      <c r="C8" s="5" t="s">
        <v>714</v>
      </c>
      <c r="D8" s="1" t="s">
        <v>715</v>
      </c>
      <c r="E8" s="5" t="s">
        <v>15</v>
      </c>
      <c r="G8" s="3"/>
      <c r="H8" s="332" t="s">
        <v>716</v>
      </c>
      <c r="I8" s="337" t="s">
        <v>190</v>
      </c>
      <c r="J8" s="337"/>
      <c r="K8" s="337"/>
      <c r="L8" s="337"/>
    </row>
    <row r="9" spans="1:35" ht="12.75">
      <c r="A9" s="3"/>
      <c r="B9" s="3"/>
      <c r="C9" s="5" t="s">
        <v>374</v>
      </c>
      <c r="D9" s="5" t="s">
        <v>16</v>
      </c>
      <c r="E9" s="5" t="s">
        <v>17</v>
      </c>
      <c r="G9" s="3"/>
      <c r="H9" s="332"/>
      <c r="I9" s="333" t="s">
        <v>836</v>
      </c>
      <c r="J9" s="333"/>
      <c r="K9" s="333"/>
      <c r="L9" s="333"/>
    </row>
    <row r="10" spans="1:35" ht="12.7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 ht="12.7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 ht="12.7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34">
        <f>'B3-B4'!D50</f>
        <v>897499289.29384375</v>
      </c>
      <c r="J12" s="334"/>
      <c r="K12" s="332" t="s">
        <v>378</v>
      </c>
      <c r="L12" s="335">
        <f>(I12/I13)/365</f>
        <v>503.2855399326375</v>
      </c>
      <c r="N12" s="37" t="s">
        <v>272</v>
      </c>
    </row>
    <row r="13" spans="1:35" ht="12.75">
      <c r="A13" s="3"/>
      <c r="B13" s="3"/>
      <c r="C13" s="3"/>
      <c r="D13" s="3"/>
      <c r="E13" s="3"/>
      <c r="G13" s="3"/>
      <c r="H13" s="3"/>
      <c r="I13" s="156">
        <f>INPUT!C8</f>
        <v>4885.7</v>
      </c>
      <c r="J13" s="5" t="s">
        <v>701</v>
      </c>
      <c r="K13" s="332"/>
      <c r="L13" s="336"/>
    </row>
    <row r="14" spans="1:35" ht="12.75">
      <c r="A14" s="2" t="s">
        <v>20</v>
      </c>
      <c r="B14" s="3"/>
      <c r="C14" s="61">
        <f>L12</f>
        <v>503.2855399326375</v>
      </c>
      <c r="D14" s="14">
        <f>INPUT!C8</f>
        <v>4885.7</v>
      </c>
      <c r="E14" s="39">
        <f>ROUND(+C14*D14,2)</f>
        <v>2458902.16</v>
      </c>
      <c r="F14" s="3"/>
      <c r="G14" s="3"/>
      <c r="H14" s="3"/>
      <c r="K14" s="62"/>
      <c r="L14" s="37" t="s">
        <v>272</v>
      </c>
    </row>
    <row r="15" spans="1:35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 ht="12.75">
      <c r="A16" s="3"/>
      <c r="B16" s="3"/>
      <c r="C16" s="3"/>
      <c r="D16" s="3"/>
      <c r="E16" s="3"/>
      <c r="F16" s="3"/>
      <c r="G16" s="3"/>
      <c r="H16" s="2" t="s">
        <v>964</v>
      </c>
      <c r="I16" s="3"/>
      <c r="J16" s="3"/>
      <c r="K16" s="3"/>
    </row>
    <row r="17" spans="1:12" ht="12.75">
      <c r="C17" s="37" t="s">
        <v>272</v>
      </c>
      <c r="F17" s="3"/>
      <c r="G17" s="3"/>
      <c r="H17" s="3"/>
      <c r="I17" s="3"/>
      <c r="J17" s="3"/>
      <c r="K17" s="3"/>
      <c r="L17" s="3"/>
    </row>
    <row r="18" spans="1:12" ht="12.75">
      <c r="A18" s="2" t="s">
        <v>398</v>
      </c>
      <c r="B18" s="4" t="s">
        <v>862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 ht="12.75">
      <c r="A19" s="3"/>
      <c r="B19" s="2" t="s">
        <v>863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 ht="12.75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 ht="12.75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 ht="12.75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 ht="12.75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 ht="12.75">
      <c r="A24" s="3"/>
      <c r="B24" s="32"/>
      <c r="C24" s="3"/>
      <c r="D24" s="3"/>
      <c r="E24" s="3"/>
      <c r="F24" s="3"/>
      <c r="I24" s="155"/>
      <c r="K24" s="62"/>
    </row>
    <row r="25" spans="1:12" ht="12.75">
      <c r="F25" s="3"/>
      <c r="I25" s="338"/>
      <c r="J25" s="338"/>
    </row>
    <row r="26" spans="1:12" ht="12.75">
      <c r="B26" s="2"/>
      <c r="F26" s="3"/>
      <c r="I26" s="338"/>
      <c r="J26" s="338"/>
    </row>
    <row r="27" spans="1:12" ht="12.75">
      <c r="B27" s="2"/>
      <c r="F27" s="3"/>
      <c r="I27" s="338"/>
      <c r="J27" s="338"/>
    </row>
    <row r="28" spans="1:12" ht="12.75">
      <c r="B28" s="2"/>
    </row>
    <row r="29" spans="1:12" ht="12.75">
      <c r="B29" s="4"/>
    </row>
    <row r="30" spans="1:12" ht="12.75">
      <c r="B30" s="2"/>
    </row>
    <row r="31" spans="1:12" ht="12.75">
      <c r="B31" s="12"/>
    </row>
    <row r="32" spans="1:12" ht="12.75">
      <c r="B32" s="12"/>
    </row>
    <row r="33" spans="2:2" ht="12.75">
      <c r="B33" s="12"/>
    </row>
  </sheetData>
  <mergeCells count="12">
    <mergeCell ref="I26:J26"/>
    <mergeCell ref="I27:J27"/>
    <mergeCell ref="A3:E3"/>
    <mergeCell ref="A4:E4"/>
    <mergeCell ref="A5:E5"/>
    <mergeCell ref="I25:J25"/>
    <mergeCell ref="K12:K13"/>
    <mergeCell ref="I9:L9"/>
    <mergeCell ref="H8:H9"/>
    <mergeCell ref="I12:J12"/>
    <mergeCell ref="L12:L13"/>
    <mergeCell ref="I8:L8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I56"/>
  <sheetViews>
    <sheetView view="pageBreakPreview" topLeftCell="A16" zoomScale="80" zoomScaleNormal="100" zoomScaleSheetLayoutView="80" workbookViewId="0">
      <selection activeCell="D38" sqref="D38"/>
    </sheetView>
  </sheetViews>
  <sheetFormatPr defaultColWidth="9" defaultRowHeight="12"/>
  <cols>
    <col min="1" max="1" width="6.875" style="37" customWidth="1"/>
    <col min="2" max="2" width="35.625" style="37" customWidth="1"/>
    <col min="3" max="3" width="24.125" style="37" customWidth="1"/>
    <col min="4" max="4" width="14" style="37" bestFit="1" customWidth="1"/>
    <col min="5" max="5" width="9" style="37"/>
    <col min="6" max="6" width="7" style="37" customWidth="1"/>
    <col min="7" max="7" width="30.375" style="37" customWidth="1"/>
    <col min="8" max="8" width="17.75" style="37" customWidth="1"/>
    <col min="9" max="11" width="13.125" style="37" customWidth="1"/>
    <col min="12" max="12" width="9" style="37"/>
    <col min="13" max="13" width="6.75" style="37" customWidth="1"/>
    <col min="14" max="14" width="34.625" style="37" customWidth="1"/>
    <col min="15" max="15" width="14" style="37" customWidth="1"/>
    <col min="16" max="16" width="13.125" style="37" customWidth="1"/>
    <col min="17" max="17" width="12.625" style="37" customWidth="1"/>
    <col min="18" max="20" width="13.125" style="37" customWidth="1"/>
    <col min="21" max="21" width="9" style="37"/>
    <col min="22" max="22" width="6.875" style="37" customWidth="1"/>
    <col min="23" max="23" width="27.625" style="37" customWidth="1"/>
    <col min="24" max="24" width="11.625" style="37" customWidth="1"/>
    <col min="25" max="25" width="9.625" style="37" customWidth="1"/>
    <col min="26" max="26" width="11.125" style="37" customWidth="1"/>
    <col min="27" max="28" width="10.625" style="37" customWidth="1"/>
    <col min="29" max="29" width="9" style="37"/>
    <col min="30" max="30" width="6.375" style="37" customWidth="1"/>
    <col min="31" max="31" width="38.375" style="37" customWidth="1"/>
    <col min="32" max="32" width="18.75" style="37" customWidth="1"/>
    <col min="33" max="35" width="11.25" style="37" customWidth="1"/>
    <col min="36" max="36" width="9" style="37"/>
    <col min="37" max="37" width="28.875" style="37" customWidth="1"/>
    <col min="38" max="38" width="18.875" style="37" customWidth="1"/>
    <col min="39" max="39" width="12.125" style="37" customWidth="1"/>
    <col min="40" max="40" width="11.75" style="37" customWidth="1"/>
    <col min="41" max="41" width="11.875" style="37" customWidth="1"/>
    <col min="42" max="42" width="10.125" style="37" customWidth="1"/>
    <col min="43" max="43" width="10.625" style="37" customWidth="1"/>
    <col min="44" max="44" width="9" style="37"/>
    <col min="45" max="45" width="7.125" style="37" customWidth="1"/>
    <col min="46" max="46" width="29.625" style="37" customWidth="1"/>
    <col min="47" max="47" width="8.25" style="37" customWidth="1"/>
    <col min="48" max="48" width="13.25" style="37" customWidth="1"/>
    <col min="49" max="49" width="10.625" style="37" customWidth="1"/>
    <col min="50" max="50" width="9.75" style="37" customWidth="1"/>
    <col min="51" max="51" width="10.875" style="37" customWidth="1"/>
    <col min="52" max="53" width="10.375" style="37" customWidth="1"/>
    <col min="54" max="54" width="9" style="37"/>
    <col min="55" max="55" width="6.625" style="37" customWidth="1"/>
    <col min="56" max="56" width="15" style="37" customWidth="1"/>
    <col min="57" max="57" width="7.375" style="37" customWidth="1"/>
    <col min="58" max="58" width="12.875" style="37" customWidth="1"/>
    <col min="59" max="59" width="9.375" style="37" customWidth="1"/>
    <col min="60" max="60" width="7.375" style="37" customWidth="1"/>
    <col min="61" max="61" width="9.625" style="37" bestFit="1" customWidth="1"/>
    <col min="62" max="62" width="14" style="37" customWidth="1"/>
    <col min="63" max="63" width="9" style="37"/>
    <col min="64" max="64" width="6.625" style="37" customWidth="1"/>
    <col min="65" max="65" width="33.125" style="37" customWidth="1"/>
    <col min="66" max="66" width="7.375" style="37" customWidth="1"/>
    <col min="67" max="67" width="13" style="37" customWidth="1"/>
    <col min="68" max="68" width="11.125" style="37" customWidth="1"/>
    <col min="69" max="69" width="9" style="37"/>
    <col min="70" max="70" width="6.875" style="37" customWidth="1"/>
    <col min="71" max="71" width="28.375" style="37" customWidth="1"/>
    <col min="72" max="72" width="9" style="37"/>
    <col min="73" max="73" width="17.375" style="37" customWidth="1"/>
    <col min="74" max="74" width="11.375" style="37" customWidth="1"/>
    <col min="75" max="75" width="9" style="37"/>
    <col min="76" max="76" width="33.125" style="37" customWidth="1"/>
    <col min="77" max="77" width="11.625" style="37" customWidth="1"/>
    <col min="78" max="80" width="13.625" style="37" customWidth="1"/>
    <col min="81" max="81" width="7.375" style="37" customWidth="1"/>
    <col min="82" max="82" width="5.125" style="37" customWidth="1"/>
    <col min="83" max="83" width="43.75" style="37" customWidth="1"/>
    <col min="84" max="84" width="12.375" style="37" customWidth="1"/>
    <col min="85" max="85" width="9" style="37"/>
    <col min="86" max="86" width="12.125" style="37" customWidth="1"/>
    <col min="87" max="87" width="9" style="37"/>
    <col min="88" max="88" width="5.75" style="37" customWidth="1"/>
    <col min="89" max="89" width="36.625" style="37" customWidth="1"/>
    <col min="90" max="90" width="13.625" style="37" customWidth="1"/>
    <col min="91" max="91" width="12.25" style="37" customWidth="1"/>
    <col min="92" max="92" width="13.75" style="37" customWidth="1"/>
    <col min="93" max="93" width="9" style="37"/>
    <col min="94" max="94" width="7.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75" style="37" customWidth="1"/>
    <col min="100" max="100" width="9" style="37"/>
    <col min="101" max="101" width="4.125" style="37" customWidth="1"/>
    <col min="102" max="102" width="25.125" style="37" customWidth="1"/>
    <col min="103" max="103" width="17.375" style="37" customWidth="1"/>
    <col min="104" max="104" width="10.875" style="37" customWidth="1"/>
    <col min="105" max="105" width="11.375" style="37" customWidth="1"/>
    <col min="106" max="106" width="12.125" style="37" customWidth="1"/>
    <col min="107" max="107" width="9" style="37"/>
    <col min="108" max="108" width="5.25" style="37" customWidth="1"/>
    <col min="109" max="109" width="31.375" style="37" customWidth="1"/>
    <col min="110" max="110" width="19.625" style="37" customWidth="1"/>
    <col min="111" max="111" width="11.375" style="37" customWidth="1"/>
    <col min="112" max="16384" width="9" style="37"/>
  </cols>
  <sheetData>
    <row r="1" spans="1:35" ht="12.75">
      <c r="A1" s="53" t="s">
        <v>1100</v>
      </c>
      <c r="B1"/>
      <c r="C1" s="52"/>
      <c r="D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12/31/2021 (actuals) for 2022</v>
      </c>
      <c r="B2" s="54"/>
      <c r="C2" s="55"/>
      <c r="D2" s="18" t="s">
        <v>412</v>
      </c>
      <c r="E2" s="47"/>
    </row>
    <row r="3" spans="1:35" ht="12.75">
      <c r="A3" s="52"/>
      <c r="B3" s="54"/>
      <c r="C3" s="55"/>
      <c r="D3" s="56" t="s">
        <v>272</v>
      </c>
      <c r="E3" s="47"/>
      <c r="L3" s="47"/>
    </row>
    <row r="4" spans="1:35" ht="12.75">
      <c r="A4" s="52"/>
      <c r="B4" s="54"/>
      <c r="C4" s="54"/>
      <c r="D4" s="1" t="s">
        <v>57</v>
      </c>
      <c r="E4" s="47"/>
      <c r="L4" s="47"/>
      <c r="V4" s="3"/>
      <c r="AD4" s="3"/>
    </row>
    <row r="5" spans="1:35" ht="12.7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 ht="12.75">
      <c r="A6" s="55"/>
      <c r="B6" s="55"/>
      <c r="C6" s="224">
        <v>-1</v>
      </c>
      <c r="D6" s="224">
        <v>-2</v>
      </c>
      <c r="L6" s="47"/>
      <c r="V6" s="3"/>
      <c r="AD6" s="3"/>
    </row>
    <row r="7" spans="1:35" ht="12.75">
      <c r="A7" s="57" t="s">
        <v>274</v>
      </c>
      <c r="B7" s="82" t="s">
        <v>587</v>
      </c>
      <c r="C7" s="54" t="s">
        <v>376</v>
      </c>
      <c r="D7" s="55">
        <f>INPUT!C377</f>
        <v>82615503.500000015</v>
      </c>
      <c r="E7" s="47"/>
      <c r="L7" s="47"/>
      <c r="V7" s="3"/>
      <c r="AD7" s="3"/>
    </row>
    <row r="8" spans="1:35" ht="12.75">
      <c r="A8" s="55"/>
      <c r="B8" s="30"/>
      <c r="C8" s="54"/>
      <c r="D8" s="55"/>
      <c r="E8" s="47"/>
      <c r="V8" s="3"/>
      <c r="AD8" s="3"/>
    </row>
    <row r="9" spans="1:35" ht="12.75">
      <c r="A9" s="57" t="s">
        <v>275</v>
      </c>
      <c r="B9" s="30" t="s">
        <v>422</v>
      </c>
      <c r="C9" s="93" t="s">
        <v>534</v>
      </c>
      <c r="D9" s="55">
        <f>INPUT!C378</f>
        <v>4320831972</v>
      </c>
      <c r="E9" s="47"/>
      <c r="V9" s="3"/>
      <c r="AD9" s="2"/>
    </row>
    <row r="10" spans="1:35" ht="12.75">
      <c r="A10" s="55"/>
      <c r="B10" s="30"/>
      <c r="C10" s="54"/>
      <c r="D10" s="58"/>
      <c r="E10" s="47"/>
      <c r="V10" s="3"/>
      <c r="AD10" s="2"/>
    </row>
    <row r="11" spans="1:35" ht="12.75">
      <c r="A11" s="57" t="s">
        <v>276</v>
      </c>
      <c r="B11" s="30" t="s">
        <v>277</v>
      </c>
      <c r="C11" s="93" t="s">
        <v>523</v>
      </c>
      <c r="D11" s="59">
        <f>D7/D9</f>
        <v>1.9120276843757816E-2</v>
      </c>
      <c r="E11" s="47"/>
      <c r="V11" s="2"/>
      <c r="AD11" s="2"/>
    </row>
    <row r="12" spans="1:35" ht="12.75">
      <c r="A12" s="55"/>
      <c r="B12" s="30"/>
      <c r="C12" s="54"/>
      <c r="D12" s="58"/>
      <c r="E12" s="47"/>
      <c r="V12" s="3"/>
      <c r="AD12" s="3"/>
    </row>
    <row r="13" spans="1:35" ht="12.75">
      <c r="A13" s="57" t="s">
        <v>278</v>
      </c>
      <c r="B13" s="30" t="s">
        <v>364</v>
      </c>
      <c r="C13" s="93" t="s">
        <v>592</v>
      </c>
      <c r="D13" s="55">
        <f>INPUT!C379</f>
        <v>88254494</v>
      </c>
      <c r="E13" s="47"/>
      <c r="V13" s="2"/>
      <c r="AD13" s="3"/>
    </row>
    <row r="14" spans="1:35" ht="12.75">
      <c r="A14" s="55"/>
      <c r="B14" s="30"/>
      <c r="C14" s="54"/>
      <c r="D14" s="58"/>
      <c r="E14" s="47"/>
      <c r="V14" s="2"/>
      <c r="AD14" s="2"/>
    </row>
    <row r="15" spans="1:35" ht="12.75">
      <c r="A15" s="57" t="s">
        <v>269</v>
      </c>
      <c r="B15" s="30" t="s">
        <v>279</v>
      </c>
      <c r="C15" s="93" t="s">
        <v>524</v>
      </c>
      <c r="D15" s="60">
        <f>D11*D13</f>
        <v>1687450.3579857631</v>
      </c>
      <c r="E15" s="47"/>
      <c r="V15" s="2"/>
      <c r="AD15" s="2"/>
    </row>
    <row r="16" spans="1:35" ht="12.75">
      <c r="A16" s="55"/>
      <c r="B16" s="30"/>
      <c r="C16" s="54"/>
      <c r="D16" s="58"/>
      <c r="E16" s="47"/>
      <c r="V16" s="2"/>
      <c r="AD16" s="3"/>
    </row>
    <row r="17" spans="1:30" ht="12.75">
      <c r="A17" s="57" t="s">
        <v>270</v>
      </c>
      <c r="B17" s="82" t="s">
        <v>596</v>
      </c>
      <c r="C17" s="190" t="s">
        <v>383</v>
      </c>
      <c r="D17" s="55">
        <f>INPUT!C380</f>
        <v>2059913788</v>
      </c>
      <c r="E17" s="47"/>
      <c r="V17" s="2"/>
      <c r="AD17" s="2"/>
    </row>
    <row r="18" spans="1:30" ht="12.75">
      <c r="A18" s="55"/>
      <c r="B18" s="30"/>
      <c r="C18" s="54"/>
      <c r="D18" s="58"/>
      <c r="E18" s="47"/>
      <c r="V18" s="2"/>
      <c r="AD18" s="3"/>
    </row>
    <row r="19" spans="1:30" ht="12.75">
      <c r="A19" s="57" t="s">
        <v>271</v>
      </c>
      <c r="B19" s="30" t="s">
        <v>281</v>
      </c>
      <c r="C19" s="93" t="s">
        <v>525</v>
      </c>
      <c r="D19" s="59">
        <f>D7/D17</f>
        <v>4.0106291817296198E-2</v>
      </c>
      <c r="E19" s="184"/>
      <c r="V19" s="2"/>
      <c r="AD19" s="2"/>
    </row>
    <row r="20" spans="1:30" ht="12.75">
      <c r="A20" s="55"/>
      <c r="B20" s="30"/>
      <c r="C20" s="54"/>
      <c r="D20" s="58"/>
      <c r="E20" s="47"/>
      <c r="V20" s="2"/>
      <c r="AD20" s="3"/>
    </row>
    <row r="21" spans="1:30" ht="12.75">
      <c r="A21" s="57" t="s">
        <v>282</v>
      </c>
      <c r="B21" s="30" t="s">
        <v>283</v>
      </c>
      <c r="C21" s="93" t="s">
        <v>535</v>
      </c>
      <c r="D21" s="55">
        <f>INPUT!C381</f>
        <v>1896191</v>
      </c>
      <c r="E21" s="47"/>
      <c r="V21" s="2"/>
      <c r="AD21" s="2"/>
    </row>
    <row r="22" spans="1:30" ht="12.75">
      <c r="A22" s="55"/>
      <c r="B22" s="30"/>
      <c r="C22" s="93" t="s">
        <v>536</v>
      </c>
      <c r="D22" s="58"/>
      <c r="E22" s="47"/>
      <c r="V22" s="2"/>
      <c r="AD22" s="3"/>
    </row>
    <row r="23" spans="1:30" ht="12.75">
      <c r="A23" s="57" t="s">
        <v>284</v>
      </c>
      <c r="B23" s="30" t="s">
        <v>590</v>
      </c>
      <c r="C23" s="93" t="s">
        <v>526</v>
      </c>
      <c r="D23" s="60">
        <f>D19*D21</f>
        <v>76049.189587330693</v>
      </c>
      <c r="E23" s="47"/>
      <c r="V23" s="2"/>
      <c r="AD23" s="2"/>
    </row>
    <row r="24" spans="1:30" ht="12.75">
      <c r="E24" s="47"/>
      <c r="L24" s="47"/>
      <c r="V24" s="2"/>
      <c r="AD24" s="3"/>
    </row>
    <row r="25" spans="1:30" ht="12.75">
      <c r="E25" s="47"/>
      <c r="L25" s="47"/>
      <c r="V25" s="2"/>
      <c r="AD25" s="2"/>
    </row>
    <row r="26" spans="1:30" ht="12.75">
      <c r="A26" s="30" t="s">
        <v>398</v>
      </c>
      <c r="B26" s="4" t="s">
        <v>847</v>
      </c>
      <c r="E26" s="47"/>
      <c r="L26" s="47"/>
      <c r="V26" s="2"/>
      <c r="AD26" s="3"/>
    </row>
    <row r="27" spans="1:30" ht="12.75">
      <c r="A27" s="30" t="s">
        <v>400</v>
      </c>
      <c r="B27" s="4" t="s">
        <v>813</v>
      </c>
      <c r="E27" s="47"/>
      <c r="L27" s="47"/>
      <c r="V27" s="2"/>
      <c r="AD27" s="2"/>
    </row>
    <row r="28" spans="1:30" ht="12.75">
      <c r="E28" s="47"/>
      <c r="V28" s="2"/>
      <c r="AD28" s="3"/>
    </row>
    <row r="29" spans="1:30" ht="12.75">
      <c r="A29" s="2" t="s">
        <v>26</v>
      </c>
      <c r="B29" s="3"/>
      <c r="C29" s="3"/>
      <c r="D29" s="18" t="s">
        <v>972</v>
      </c>
      <c r="E29" s="47"/>
      <c r="V29" s="2"/>
      <c r="AD29" s="2"/>
    </row>
    <row r="30" spans="1:30" ht="12.75">
      <c r="A30" s="30" t="str">
        <f>INPUT!$B$2</f>
        <v>12 Months Ending 12/31/2021 (actuals) for 2022</v>
      </c>
      <c r="B30" s="3"/>
      <c r="C30" s="3"/>
      <c r="D30" s="18" t="s">
        <v>27</v>
      </c>
      <c r="V30" s="2"/>
      <c r="AD30" s="2"/>
    </row>
    <row r="31" spans="1:30" ht="12.75">
      <c r="B31" s="3"/>
      <c r="C31" s="3"/>
      <c r="D31" s="3"/>
      <c r="V31" s="2"/>
      <c r="AD31" s="3"/>
    </row>
    <row r="32" spans="1:30" ht="12.75">
      <c r="A32" s="3"/>
      <c r="B32" s="3"/>
      <c r="C32" s="3"/>
      <c r="D32" s="3"/>
      <c r="V32" s="2"/>
      <c r="AD32" s="2"/>
    </row>
    <row r="33" spans="1:30" ht="12.75">
      <c r="A33" s="3"/>
      <c r="B33" s="3"/>
      <c r="C33" s="3"/>
      <c r="D33" s="1" t="s">
        <v>57</v>
      </c>
      <c r="V33" s="2"/>
      <c r="AD33" s="2"/>
    </row>
    <row r="34" spans="1:30" ht="12.75">
      <c r="A34" s="3"/>
      <c r="B34" s="3"/>
      <c r="C34" s="1" t="s">
        <v>372</v>
      </c>
      <c r="D34" s="1" t="s">
        <v>288</v>
      </c>
      <c r="V34" s="2"/>
      <c r="AD34" s="2"/>
    </row>
    <row r="35" spans="1:30" ht="12.75">
      <c r="A35" s="3"/>
      <c r="B35" s="3"/>
      <c r="C35" s="224">
        <v>-1</v>
      </c>
      <c r="D35" s="224">
        <v>-2</v>
      </c>
      <c r="V35" s="2"/>
      <c r="AD35" s="2"/>
    </row>
    <row r="36" spans="1:30" ht="12.75">
      <c r="A36" s="2" t="s">
        <v>373</v>
      </c>
      <c r="B36" s="2" t="s">
        <v>428</v>
      </c>
      <c r="C36" s="4" t="s">
        <v>838</v>
      </c>
      <c r="D36" s="38">
        <f>'B5'!E38</f>
        <v>272776655.51142597</v>
      </c>
      <c r="V36" s="2"/>
      <c r="AD36" s="3"/>
    </row>
    <row r="37" spans="1:30" ht="12.75">
      <c r="A37" s="3"/>
      <c r="B37" s="3"/>
      <c r="C37" s="3"/>
      <c r="D37" s="40"/>
      <c r="V37" s="3"/>
      <c r="AD37" s="2"/>
    </row>
    <row r="38" spans="1:30" ht="12.75">
      <c r="A38" s="2" t="s">
        <v>377</v>
      </c>
      <c r="B38" s="2" t="s">
        <v>107</v>
      </c>
      <c r="C38" s="4" t="s">
        <v>537</v>
      </c>
      <c r="D38" s="38">
        <f>'B11-B14'!AH31</f>
        <v>237791209.00471818</v>
      </c>
      <c r="V38" s="2"/>
      <c r="AD38" s="3"/>
    </row>
    <row r="39" spans="1:30" ht="12.75">
      <c r="A39" s="3"/>
      <c r="B39" s="3"/>
      <c r="C39" s="3"/>
      <c r="D39" s="40"/>
      <c r="V39" s="3"/>
      <c r="AD39" s="3"/>
    </row>
    <row r="40" spans="1:30" ht="12.75">
      <c r="A40" s="2" t="s">
        <v>379</v>
      </c>
      <c r="B40" s="2" t="s">
        <v>120</v>
      </c>
      <c r="C40" s="4" t="s">
        <v>1034</v>
      </c>
      <c r="D40" s="38">
        <f>'B16'!D26</f>
        <v>256220524.57849476</v>
      </c>
      <c r="V40" s="3"/>
      <c r="AD40" s="3"/>
    </row>
    <row r="41" spans="1:30" ht="12.75">
      <c r="A41" s="3"/>
      <c r="B41" s="3"/>
      <c r="C41" s="3"/>
      <c r="D41" s="40"/>
      <c r="V41" s="2"/>
    </row>
    <row r="42" spans="1:30" ht="12.75">
      <c r="A42" s="2" t="s">
        <v>380</v>
      </c>
      <c r="B42" s="2" t="s">
        <v>134</v>
      </c>
      <c r="C42" s="4" t="s">
        <v>775</v>
      </c>
      <c r="D42" s="38">
        <f>'B17-B18'!F21</f>
        <v>95067576.474278137</v>
      </c>
      <c r="L42" s="47"/>
      <c r="M42" s="2"/>
      <c r="N42" s="2"/>
      <c r="V42" s="3"/>
    </row>
    <row r="43" spans="1:30" ht="12.75">
      <c r="A43" s="3"/>
      <c r="B43" s="3"/>
      <c r="C43" s="3"/>
      <c r="D43" s="40"/>
      <c r="L43" s="47"/>
      <c r="V43" s="2"/>
    </row>
    <row r="44" spans="1:30" ht="12.75">
      <c r="A44" s="2" t="s">
        <v>381</v>
      </c>
      <c r="B44" s="2" t="s">
        <v>153</v>
      </c>
      <c r="C44" s="4" t="s">
        <v>538</v>
      </c>
      <c r="D44" s="38">
        <f>'B17-B18'!L16</f>
        <v>57787553.77742669</v>
      </c>
      <c r="L44" s="47"/>
      <c r="V44" s="2"/>
    </row>
    <row r="45" spans="1:30" ht="12.75">
      <c r="A45" s="3"/>
      <c r="B45" s="3"/>
      <c r="C45" s="3"/>
      <c r="D45" s="40"/>
      <c r="L45" s="47"/>
      <c r="V45" s="3"/>
    </row>
    <row r="46" spans="1:30" ht="12.75">
      <c r="A46" s="4" t="s">
        <v>382</v>
      </c>
      <c r="B46" s="2" t="s">
        <v>961</v>
      </c>
      <c r="C46" s="2" t="s">
        <v>383</v>
      </c>
      <c r="D46" s="38">
        <f>+INPUT!C12</f>
        <v>22144230.052500002</v>
      </c>
      <c r="V46" s="3"/>
    </row>
    <row r="47" spans="1:30" ht="12.75">
      <c r="A47" s="4"/>
      <c r="B47" s="2"/>
      <c r="C47" s="2"/>
      <c r="D47" s="38"/>
      <c r="V47" s="3"/>
    </row>
    <row r="48" spans="1:30" ht="12.75">
      <c r="A48" s="4" t="s">
        <v>271</v>
      </c>
      <c r="B48" s="2" t="s">
        <v>962</v>
      </c>
      <c r="C48" s="2" t="s">
        <v>385</v>
      </c>
      <c r="D48" s="38">
        <v>0</v>
      </c>
      <c r="V48" s="3"/>
    </row>
    <row r="49" spans="1:22" ht="12.75">
      <c r="A49" s="3"/>
      <c r="B49" s="2"/>
      <c r="C49" s="2"/>
      <c r="G49" s="37" t="s">
        <v>272</v>
      </c>
      <c r="V49" s="3"/>
    </row>
    <row r="50" spans="1:22" ht="12.75">
      <c r="A50" s="4" t="s">
        <v>386</v>
      </c>
      <c r="B50" s="2" t="s">
        <v>190</v>
      </c>
      <c r="C50" s="4" t="s">
        <v>963</v>
      </c>
      <c r="D50" s="38">
        <f>SUM(D36:D45)-(D46-D48)</f>
        <v>897499289.29384375</v>
      </c>
      <c r="V50" s="3"/>
    </row>
    <row r="51" spans="1:22" ht="12.75">
      <c r="A51" s="3"/>
      <c r="B51" s="3"/>
      <c r="C51" s="3"/>
      <c r="D51" s="3"/>
      <c r="V51" s="2"/>
    </row>
    <row r="52" spans="1:22" ht="12.75">
      <c r="A52" s="3"/>
      <c r="B52" s="3"/>
      <c r="C52" s="3"/>
      <c r="D52" s="3"/>
      <c r="V52" s="2"/>
    </row>
    <row r="53" spans="1:22" ht="12.75">
      <c r="A53" s="3" t="s">
        <v>398</v>
      </c>
      <c r="B53" s="3" t="s">
        <v>968</v>
      </c>
    </row>
    <row r="54" spans="1:22" ht="12.75">
      <c r="A54" s="3" t="s">
        <v>609</v>
      </c>
      <c r="B54" s="3" t="s">
        <v>969</v>
      </c>
      <c r="C54" s="3"/>
      <c r="D54" s="179"/>
      <c r="E54" s="179"/>
      <c r="F54" s="179"/>
      <c r="G54" s="179"/>
      <c r="H54" s="179"/>
      <c r="I54" s="179"/>
      <c r="J54" s="179"/>
    </row>
    <row r="55" spans="1:22" ht="12.75">
      <c r="A55" s="52"/>
      <c r="B55" s="3" t="s">
        <v>970</v>
      </c>
      <c r="C55" s="3"/>
      <c r="D55" s="179"/>
      <c r="E55" s="179"/>
      <c r="F55" s="179"/>
      <c r="G55" s="179"/>
      <c r="H55" s="179"/>
      <c r="I55" s="179"/>
      <c r="J55" s="179"/>
    </row>
    <row r="56" spans="1:22" ht="12.75">
      <c r="A56" s="3" t="s">
        <v>402</v>
      </c>
      <c r="B56" s="3" t="s">
        <v>971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I45"/>
  <sheetViews>
    <sheetView zoomScaleNormal="100" workbookViewId="0">
      <selection activeCell="D11" sqref="D11"/>
    </sheetView>
  </sheetViews>
  <sheetFormatPr defaultColWidth="9" defaultRowHeight="12"/>
  <cols>
    <col min="1" max="1" width="5.875" style="37" customWidth="1"/>
    <col min="2" max="2" width="26.375" style="37" customWidth="1"/>
    <col min="3" max="3" width="18.75" style="37" customWidth="1"/>
    <col min="4" max="4" width="13.75" style="37" customWidth="1"/>
    <col min="5" max="6" width="12.375" style="37" customWidth="1"/>
    <col min="7" max="16384" width="9" style="37"/>
  </cols>
  <sheetData>
    <row r="1" spans="1:35" ht="12.75">
      <c r="A1" s="2" t="s">
        <v>28</v>
      </c>
      <c r="B1"/>
      <c r="C1" s="3"/>
      <c r="F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12/31/2021 (actuals) for 2022</v>
      </c>
      <c r="B2" s="3"/>
      <c r="C2" s="3"/>
      <c r="D2" s="3"/>
      <c r="E2" s="3"/>
      <c r="F2" s="18" t="s">
        <v>29</v>
      </c>
    </row>
    <row r="3" spans="1:35" ht="12.75">
      <c r="A3" s="3"/>
      <c r="B3" s="3"/>
      <c r="C3" s="3"/>
      <c r="D3" s="3"/>
      <c r="E3" s="3"/>
      <c r="F3" s="3"/>
    </row>
    <row r="4" spans="1:35" ht="12.75">
      <c r="A4" s="3"/>
      <c r="B4" s="3"/>
      <c r="C4" s="3"/>
      <c r="D4" s="3"/>
      <c r="E4" s="3"/>
      <c r="F4" s="3"/>
    </row>
    <row r="5" spans="1:35" ht="12.75">
      <c r="B5" s="3"/>
      <c r="C5" s="3"/>
      <c r="D5" s="3"/>
      <c r="E5" s="3"/>
      <c r="F5" s="3"/>
    </row>
    <row r="6" spans="1:35" ht="12.75">
      <c r="A6" s="3"/>
      <c r="B6" s="3"/>
      <c r="C6" s="3"/>
      <c r="D6" s="3"/>
      <c r="E6" s="3"/>
      <c r="F6" s="3"/>
    </row>
    <row r="7" spans="1:35" ht="12.7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 ht="12.7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 ht="12.75">
      <c r="A9" s="3"/>
      <c r="B9" s="3"/>
      <c r="C9" s="3"/>
      <c r="D9" s="3"/>
      <c r="E9" s="3"/>
      <c r="F9" s="3"/>
    </row>
    <row r="10" spans="1:35" ht="12.75">
      <c r="A10" s="2" t="s">
        <v>377</v>
      </c>
      <c r="B10" s="2" t="s">
        <v>108</v>
      </c>
      <c r="C10" s="2" t="s">
        <v>785</v>
      </c>
      <c r="D10" s="14">
        <f>'B6'!F16</f>
        <v>6953411086.5062151</v>
      </c>
      <c r="E10" s="14">
        <f>'B6'!G16</f>
        <v>6848426443.817543</v>
      </c>
      <c r="F10" s="14">
        <f>'B6'!H16</f>
        <v>104984642.68867153</v>
      </c>
    </row>
    <row r="11" spans="1:35" ht="12.75">
      <c r="A11" s="2" t="s">
        <v>379</v>
      </c>
      <c r="B11" s="2" t="s">
        <v>112</v>
      </c>
      <c r="C11" s="2" t="s">
        <v>786</v>
      </c>
      <c r="D11" s="14">
        <f>'B6'!F29</f>
        <v>3137119045.9037719</v>
      </c>
      <c r="E11" s="14">
        <f>'B6'!G29</f>
        <v>3121387415.1035233</v>
      </c>
      <c r="F11" s="14">
        <f>'B6'!H29</f>
        <v>15731630.8002489</v>
      </c>
    </row>
    <row r="12" spans="1:35" ht="12.75">
      <c r="A12" s="2"/>
      <c r="B12" s="2"/>
      <c r="C12" s="2"/>
      <c r="D12" s="14"/>
      <c r="E12" s="14"/>
      <c r="F12" s="14"/>
    </row>
    <row r="13" spans="1:35" ht="12.75">
      <c r="A13" s="2" t="s">
        <v>380</v>
      </c>
      <c r="B13" s="2" t="s">
        <v>135</v>
      </c>
      <c r="C13" s="4" t="s">
        <v>493</v>
      </c>
      <c r="D13" s="14">
        <f>D10-D11</f>
        <v>3816292040.6024432</v>
      </c>
      <c r="E13" s="14">
        <f>E10-E11</f>
        <v>3727039028.7140198</v>
      </c>
      <c r="F13" s="14">
        <f>F10-F11</f>
        <v>89253011.888422623</v>
      </c>
    </row>
    <row r="14" spans="1:35" ht="12.75">
      <c r="A14" s="3"/>
      <c r="B14" s="3"/>
      <c r="C14" s="3"/>
      <c r="D14" s="3"/>
      <c r="E14" s="3"/>
      <c r="F14" s="3"/>
    </row>
    <row r="15" spans="1:35" ht="12.75">
      <c r="A15" s="2" t="s">
        <v>381</v>
      </c>
      <c r="B15" s="2" t="s">
        <v>121</v>
      </c>
      <c r="C15" s="2" t="s">
        <v>1039</v>
      </c>
      <c r="D15" s="14">
        <f>'B6'!F31</f>
        <v>58356995.049638271</v>
      </c>
      <c r="E15" s="14">
        <f>'B6'!G31</f>
        <v>147372388.95366591</v>
      </c>
      <c r="F15" s="14">
        <f>'B6'!H31</f>
        <v>-89015393.904027671</v>
      </c>
    </row>
    <row r="16" spans="1:35" ht="12.75">
      <c r="A16" s="3"/>
      <c r="B16" s="2"/>
      <c r="C16" s="2"/>
      <c r="D16" s="14"/>
      <c r="E16" s="14"/>
      <c r="F16" s="14"/>
    </row>
    <row r="17" spans="1:6" ht="12.75">
      <c r="A17" s="2" t="s">
        <v>382</v>
      </c>
      <c r="B17" s="2" t="s">
        <v>154</v>
      </c>
      <c r="C17" s="2" t="s">
        <v>1064</v>
      </c>
      <c r="D17" s="51">
        <f>INPUT!C13</f>
        <v>401556.66000000003</v>
      </c>
      <c r="E17" s="51">
        <f>INPUT!C14</f>
        <v>401556.66000000003</v>
      </c>
      <c r="F17" s="51">
        <f>INPUT!C15</f>
        <v>0</v>
      </c>
    </row>
    <row r="18" spans="1:6" ht="12.75">
      <c r="A18" s="3"/>
      <c r="B18" s="3"/>
      <c r="C18" s="3"/>
      <c r="D18" s="3"/>
      <c r="E18" s="3"/>
      <c r="F18" s="3"/>
    </row>
    <row r="19" spans="1:6" ht="12.75">
      <c r="A19" s="4" t="s">
        <v>384</v>
      </c>
      <c r="B19" s="2" t="s">
        <v>187</v>
      </c>
      <c r="C19" s="4" t="s">
        <v>839</v>
      </c>
      <c r="D19" s="14">
        <f>D13-D15+D17</f>
        <v>3758336602.2128048</v>
      </c>
      <c r="E19" s="14">
        <f>E13-E15+E17</f>
        <v>3580068196.4203539</v>
      </c>
      <c r="F19" s="14">
        <f>F13-F15+F17</f>
        <v>178268405.79245031</v>
      </c>
    </row>
    <row r="20" spans="1:6" ht="12.75">
      <c r="A20" s="2" t="s">
        <v>272</v>
      </c>
      <c r="B20" s="3"/>
      <c r="C20" s="3"/>
      <c r="D20" s="3"/>
      <c r="E20" s="3"/>
      <c r="F20" s="3"/>
    </row>
    <row r="21" spans="1:6" ht="12.75">
      <c r="A21" s="2" t="s">
        <v>272</v>
      </c>
      <c r="B21" s="2" t="s">
        <v>195</v>
      </c>
      <c r="C21" s="3"/>
      <c r="D21" s="3"/>
      <c r="E21" s="3"/>
      <c r="F21" s="3"/>
    </row>
    <row r="22" spans="1:6" ht="12.75">
      <c r="A22" s="2" t="s">
        <v>272</v>
      </c>
      <c r="B22" s="3"/>
      <c r="C22" s="3"/>
      <c r="D22" s="3"/>
      <c r="E22" s="3"/>
      <c r="F22" s="3"/>
    </row>
    <row r="23" spans="1:6" ht="12.75">
      <c r="A23" s="4" t="s">
        <v>386</v>
      </c>
      <c r="B23" s="2" t="s">
        <v>311</v>
      </c>
      <c r="C23" s="3"/>
      <c r="D23" s="3"/>
      <c r="E23" s="3"/>
      <c r="F23" s="3"/>
    </row>
    <row r="24" spans="1:6" ht="12.75">
      <c r="A24" s="4" t="s">
        <v>389</v>
      </c>
      <c r="B24" s="2" t="s">
        <v>207</v>
      </c>
      <c r="C24" s="4" t="s">
        <v>787</v>
      </c>
      <c r="D24" s="14">
        <f>'B8-B10'!K9</f>
        <v>67085808.960999995</v>
      </c>
      <c r="E24" s="14">
        <f>'B8-B10'!L9</f>
        <v>0</v>
      </c>
      <c r="F24" s="14">
        <f>'B8-B10'!M9</f>
        <v>67085808.960999995</v>
      </c>
    </row>
    <row r="25" spans="1:6" ht="12.75">
      <c r="A25" s="4" t="s">
        <v>391</v>
      </c>
      <c r="B25" s="2" t="s">
        <v>213</v>
      </c>
      <c r="C25" s="4" t="s">
        <v>788</v>
      </c>
      <c r="D25" s="14">
        <f>'B8-B10'!K18</f>
        <v>82085712.46100001</v>
      </c>
      <c r="E25" s="14">
        <f>'B8-B10'!L18</f>
        <v>82085712.46100001</v>
      </c>
      <c r="F25" s="14">
        <f>'B8-B10'!M18</f>
        <v>0</v>
      </c>
    </row>
    <row r="26" spans="1:6" ht="12.75">
      <c r="A26" s="4" t="s">
        <v>393</v>
      </c>
      <c r="B26" s="2" t="s">
        <v>219</v>
      </c>
      <c r="C26" s="2" t="s">
        <v>214</v>
      </c>
      <c r="D26" s="14">
        <f>D24+D25</f>
        <v>149171521.42199999</v>
      </c>
      <c r="E26" s="14">
        <f>E24+E25</f>
        <v>82085712.46100001</v>
      </c>
      <c r="F26" s="14">
        <f>F24+F25</f>
        <v>67085808.960999995</v>
      </c>
    </row>
    <row r="27" spans="1:6" ht="12.75">
      <c r="A27" s="2" t="s">
        <v>272</v>
      </c>
      <c r="B27" s="3"/>
      <c r="C27" s="3"/>
      <c r="D27" s="3"/>
      <c r="E27" s="3"/>
      <c r="F27" s="3"/>
    </row>
    <row r="28" spans="1:6" ht="12.75">
      <c r="A28" s="4" t="s">
        <v>394</v>
      </c>
      <c r="B28" s="4" t="s">
        <v>840</v>
      </c>
      <c r="C28" s="3"/>
      <c r="D28" s="3">
        <f>INPUT!$C$18*'B6'!F20</f>
        <v>3348781.5464502447</v>
      </c>
      <c r="E28" s="3">
        <f>INPUT!$C$18*'B6'!G20</f>
        <v>3298220.6588646388</v>
      </c>
      <c r="F28" s="3">
        <f>INPUT!$C$18*'B6'!H20</f>
        <v>50560.887585605567</v>
      </c>
    </row>
    <row r="29" spans="1:6" ht="12.75">
      <c r="A29" s="4" t="s">
        <v>395</v>
      </c>
      <c r="B29" s="4" t="s">
        <v>841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 ht="12.75">
      <c r="A30" s="4" t="s">
        <v>399</v>
      </c>
      <c r="B30" s="4" t="s">
        <v>842</v>
      </c>
      <c r="C30" s="2" t="s">
        <v>866</v>
      </c>
      <c r="D30" s="14">
        <f>SUM(D28:D29)</f>
        <v>3348781.5464502447</v>
      </c>
      <c r="E30" s="14">
        <f>SUM(E28:E29)</f>
        <v>3298220.6588646388</v>
      </c>
      <c r="F30" s="14">
        <f>SUM(F28:F29)</f>
        <v>50560.887585605567</v>
      </c>
    </row>
    <row r="31" spans="1:6" ht="12.75">
      <c r="A31" s="2" t="s">
        <v>272</v>
      </c>
      <c r="B31" s="3"/>
      <c r="C31" s="3"/>
      <c r="D31" s="42"/>
      <c r="E31" s="3"/>
      <c r="F31" s="3"/>
    </row>
    <row r="32" spans="1:6" ht="12.75">
      <c r="A32" s="4" t="s">
        <v>401</v>
      </c>
      <c r="B32" s="4" t="s">
        <v>425</v>
      </c>
      <c r="C32" s="4" t="s">
        <v>1040</v>
      </c>
      <c r="D32" s="14">
        <f>'B8-B10'!C20</f>
        <v>32163816.18909663</v>
      </c>
      <c r="E32" s="14">
        <f>'B8-B10'!D20</f>
        <v>22052088.101891357</v>
      </c>
      <c r="F32" s="14">
        <f>'B8-B10'!E20</f>
        <v>10111728.087205276</v>
      </c>
    </row>
    <row r="33" spans="1:6" ht="12.75">
      <c r="A33" s="2" t="s">
        <v>272</v>
      </c>
      <c r="B33" s="3"/>
      <c r="C33" s="3"/>
      <c r="D33" s="3"/>
      <c r="E33" s="3"/>
      <c r="F33" s="3"/>
    </row>
    <row r="34" spans="1:6" ht="12.75">
      <c r="A34" s="4" t="s">
        <v>403</v>
      </c>
      <c r="B34" s="4" t="s">
        <v>426</v>
      </c>
      <c r="C34" s="4" t="s">
        <v>843</v>
      </c>
      <c r="D34" s="14">
        <f>D19+D26+D30+D32</f>
        <v>3943020721.3703513</v>
      </c>
      <c r="E34" s="14">
        <f>E19+E26+E30+E32</f>
        <v>3687504217.6421099</v>
      </c>
      <c r="F34" s="14">
        <f>F19+F26+F30+F32</f>
        <v>255516503.72824121</v>
      </c>
    </row>
    <row r="35" spans="1:6" ht="12.75">
      <c r="A35" s="2" t="s">
        <v>272</v>
      </c>
      <c r="B35" s="3"/>
      <c r="C35" s="3"/>
      <c r="D35" s="3"/>
      <c r="E35" s="3"/>
      <c r="F35" s="3"/>
    </row>
    <row r="36" spans="1:6" ht="12.75">
      <c r="A36" s="4" t="s">
        <v>405</v>
      </c>
      <c r="B36" s="4" t="s">
        <v>427</v>
      </c>
      <c r="C36" s="4" t="s">
        <v>539</v>
      </c>
      <c r="D36" s="45">
        <f>'B11-B14'!$H$17</f>
        <v>7.3973245699999995E-2</v>
      </c>
      <c r="E36" s="45">
        <f>'B11-B14'!$H$17</f>
        <v>7.3973245699999995E-2</v>
      </c>
      <c r="F36" s="45">
        <f>'B11-B14'!$H$17</f>
        <v>7.3973245699999995E-2</v>
      </c>
    </row>
    <row r="37" spans="1:6" ht="12.75">
      <c r="A37" s="2" t="s">
        <v>272</v>
      </c>
      <c r="B37" s="3"/>
      <c r="C37" s="3"/>
      <c r="D37" s="3"/>
      <c r="E37" s="3"/>
      <c r="F37" s="3"/>
    </row>
    <row r="38" spans="1:6" ht="12.75">
      <c r="A38" s="4" t="s">
        <v>406</v>
      </c>
      <c r="B38" s="4" t="s">
        <v>428</v>
      </c>
      <c r="C38" s="2" t="s">
        <v>844</v>
      </c>
      <c r="D38" s="14">
        <f>ROUND(+D36*D34,10)</f>
        <v>291678040.62212002</v>
      </c>
      <c r="E38" s="14">
        <f>ROUND(+E36*E34,10)</f>
        <v>272776655.51142597</v>
      </c>
      <c r="F38" s="14">
        <f>ROUND(+F36*F34,10)</f>
        <v>18901385.1106942</v>
      </c>
    </row>
    <row r="39" spans="1:6" ht="12.75">
      <c r="A39" s="3"/>
      <c r="B39" s="3"/>
      <c r="C39" s="3"/>
      <c r="D39" s="3"/>
      <c r="E39" s="3"/>
      <c r="F39" s="3"/>
    </row>
    <row r="40" spans="1:6" ht="12.75">
      <c r="A40" s="3"/>
      <c r="B40" s="3"/>
      <c r="C40" s="3"/>
      <c r="D40" s="3"/>
      <c r="E40" s="3"/>
      <c r="F40" s="3"/>
    </row>
    <row r="41" spans="1:6" ht="12.75">
      <c r="A41" s="2" t="s">
        <v>398</v>
      </c>
      <c r="B41" s="2" t="s">
        <v>790</v>
      </c>
      <c r="C41" s="3"/>
      <c r="D41" s="3"/>
      <c r="E41" s="3"/>
      <c r="F41" s="3"/>
    </row>
    <row r="42" spans="1:6" ht="12.75">
      <c r="A42" s="3"/>
      <c r="B42" s="3"/>
      <c r="C42" s="3"/>
      <c r="D42" s="3"/>
      <c r="E42" s="3"/>
      <c r="F42" s="3"/>
    </row>
    <row r="43" spans="1:6" ht="12.75">
      <c r="A43" s="4" t="s">
        <v>400</v>
      </c>
      <c r="B43" s="4" t="s">
        <v>789</v>
      </c>
    </row>
    <row r="44" spans="1:6" ht="12.75">
      <c r="B44" s="4" t="s">
        <v>848</v>
      </c>
    </row>
    <row r="45" spans="1:6" ht="12.75">
      <c r="B45" s="4" t="s">
        <v>1088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I56"/>
  <sheetViews>
    <sheetView view="pageBreakPreview" topLeftCell="A10" zoomScale="85" zoomScaleNormal="100" zoomScaleSheetLayoutView="85" workbookViewId="0">
      <selection activeCell="G19" sqref="G19"/>
    </sheetView>
  </sheetViews>
  <sheetFormatPr defaultColWidth="9" defaultRowHeight="12"/>
  <cols>
    <col min="1" max="1" width="6.75" style="37" customWidth="1"/>
    <col min="2" max="2" width="32.875" style="37" customWidth="1"/>
    <col min="3" max="3" width="12.125" style="37" customWidth="1"/>
    <col min="4" max="4" width="17.625" style="37" customWidth="1"/>
    <col min="5" max="5" width="12" style="37" customWidth="1"/>
    <col min="6" max="6" width="16.375" style="37" customWidth="1"/>
    <col min="7" max="7" width="17.75" style="37" customWidth="1"/>
    <col min="8" max="8" width="15.875" style="37" customWidth="1"/>
    <col min="9" max="16384" width="9" style="37"/>
  </cols>
  <sheetData>
    <row r="1" spans="1:35" ht="12.75">
      <c r="A1" s="4" t="s">
        <v>36</v>
      </c>
      <c r="B1"/>
      <c r="C1" s="3"/>
      <c r="G1" s="3"/>
      <c r="H1" s="41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 ht="12.75">
      <c r="A3" s="30" t="str">
        <f>INPUT!$B$2</f>
        <v>12 Months Ending 12/31/2021 (actuals) for 2022</v>
      </c>
      <c r="B3" s="3"/>
      <c r="C3" s="3"/>
      <c r="D3" s="3"/>
      <c r="E3" s="3"/>
      <c r="F3" s="3"/>
      <c r="G3" s="3"/>
    </row>
    <row r="4" spans="1:35" ht="12.75">
      <c r="A4" s="3"/>
      <c r="B4" s="3"/>
      <c r="C4" s="3"/>
      <c r="D4" s="3"/>
      <c r="E4" s="3"/>
      <c r="F4" s="3"/>
      <c r="H4" s="3"/>
    </row>
    <row r="5" spans="1:35" ht="12.75">
      <c r="B5" s="3"/>
      <c r="C5" s="3"/>
      <c r="D5" s="3"/>
      <c r="E5" s="3"/>
      <c r="F5" s="50"/>
      <c r="G5" s="23"/>
      <c r="H5" s="23"/>
    </row>
    <row r="6" spans="1:35" ht="12.7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 ht="12.7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 ht="12.7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 ht="12.7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 ht="12.75">
      <c r="A10" s="3"/>
      <c r="B10" s="3"/>
      <c r="C10" s="106"/>
      <c r="D10" s="120"/>
      <c r="E10" s="3"/>
      <c r="F10" s="106"/>
      <c r="G10" s="54"/>
      <c r="H10" s="120"/>
    </row>
    <row r="11" spans="1:35" ht="12.7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 ht="12.75">
      <c r="A12" s="3"/>
      <c r="B12" s="3"/>
      <c r="C12" s="116" t="s">
        <v>1035</v>
      </c>
      <c r="D12" s="81">
        <f>INPUT!C20</f>
        <v>16194335798</v>
      </c>
      <c r="E12" s="2" t="s">
        <v>955</v>
      </c>
      <c r="F12" s="124">
        <f>INPUT!C21+'B3-B4'!D7</f>
        <v>6623656703.5</v>
      </c>
      <c r="G12" s="30">
        <f>INPUT!C22+'B3-B4'!D7</f>
        <v>6623656703.5</v>
      </c>
      <c r="H12" s="81">
        <f>INPUT!C23</f>
        <v>0</v>
      </c>
    </row>
    <row r="13" spans="1:35" ht="12.7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 ht="12.75">
      <c r="A14" s="3"/>
      <c r="B14" s="3"/>
      <c r="C14" s="106"/>
      <c r="D14" s="120"/>
      <c r="E14" s="4" t="s">
        <v>1089</v>
      </c>
      <c r="F14" s="124">
        <f>'B7'!D40</f>
        <v>329754383.00621474</v>
      </c>
      <c r="G14" s="30">
        <f>'B7'!E40</f>
        <v>224769740.31754339</v>
      </c>
      <c r="H14" s="81">
        <f>'B7'!F40</f>
        <v>104984642.68867153</v>
      </c>
    </row>
    <row r="15" spans="1:35" ht="12.75">
      <c r="A15" s="3"/>
      <c r="B15" s="3"/>
      <c r="C15" s="106"/>
      <c r="D15" s="120"/>
      <c r="E15" s="3"/>
      <c r="F15" s="106"/>
      <c r="G15" s="54"/>
      <c r="H15" s="120"/>
    </row>
    <row r="16" spans="1:35" ht="12.75">
      <c r="A16" s="2" t="s">
        <v>380</v>
      </c>
      <c r="B16" s="2" t="s">
        <v>77</v>
      </c>
      <c r="C16" s="116" t="s">
        <v>143</v>
      </c>
      <c r="D16" s="81">
        <f>D12+D13</f>
        <v>16194335798</v>
      </c>
      <c r="E16" s="3"/>
      <c r="F16" s="124">
        <f>F12+F14</f>
        <v>6953411086.5062151</v>
      </c>
      <c r="G16" s="30">
        <f>G12+G14</f>
        <v>6848426443.817543</v>
      </c>
      <c r="H16" s="81">
        <f>H12+H14</f>
        <v>104984642.68867153</v>
      </c>
    </row>
    <row r="17" spans="1:8" ht="12.75">
      <c r="A17" s="3"/>
      <c r="B17" s="3"/>
      <c r="C17" s="106" t="s">
        <v>376</v>
      </c>
      <c r="D17" s="120"/>
      <c r="E17" s="3"/>
      <c r="F17" s="106"/>
      <c r="G17" s="154">
        <f>G16/F16</f>
        <v>0.98490170631614093</v>
      </c>
      <c r="H17" s="154">
        <f>H16/G16</f>
        <v>1.532974670165977E-2</v>
      </c>
    </row>
    <row r="18" spans="1:8" ht="12.75">
      <c r="A18" s="2" t="s">
        <v>381</v>
      </c>
      <c r="B18" s="3"/>
      <c r="C18" s="106"/>
      <c r="D18" s="120"/>
      <c r="E18" s="4" t="s">
        <v>541</v>
      </c>
      <c r="F18" s="124">
        <f>F16</f>
        <v>6953411086.5062151</v>
      </c>
      <c r="G18" s="30">
        <f>G16</f>
        <v>6848426443.817543</v>
      </c>
      <c r="H18" s="81">
        <f>H16</f>
        <v>104984642.68867153</v>
      </c>
    </row>
    <row r="19" spans="1:8" ht="12.75">
      <c r="A19" s="2" t="s">
        <v>382</v>
      </c>
      <c r="B19" s="3"/>
      <c r="C19" s="106"/>
      <c r="D19" s="120"/>
      <c r="E19" s="4" t="s">
        <v>540</v>
      </c>
      <c r="F19" s="124">
        <f>$D$16</f>
        <v>16194335798</v>
      </c>
      <c r="G19" s="30">
        <f>$D$16</f>
        <v>16194335798</v>
      </c>
      <c r="H19" s="81">
        <f>$D$16</f>
        <v>16194335798</v>
      </c>
    </row>
    <row r="20" spans="1:8" ht="12.75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0.4293730335</v>
      </c>
      <c r="G20" s="126">
        <f>ROUND(+G18/$F$19,10)</f>
        <v>0.42289023329999997</v>
      </c>
      <c r="H20" s="117">
        <f>ROUND(+H18/$F$19,10)</f>
        <v>6.4828001999999996E-3</v>
      </c>
    </row>
    <row r="21" spans="1:8" ht="12.75">
      <c r="A21" s="3"/>
      <c r="B21" s="3"/>
      <c r="C21" s="106"/>
      <c r="D21" s="120"/>
      <c r="E21" s="3"/>
      <c r="F21" s="106"/>
      <c r="G21" s="54"/>
      <c r="H21" s="120"/>
    </row>
    <row r="22" spans="1:8" ht="12.75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 ht="12.75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 ht="12.75">
      <c r="A24" s="3"/>
      <c r="B24" s="3"/>
      <c r="C24" s="106"/>
      <c r="D24" s="120"/>
      <c r="E24" s="3"/>
      <c r="F24" s="106"/>
      <c r="G24" s="54"/>
      <c r="H24" s="120"/>
    </row>
    <row r="25" spans="1:8" ht="12.75">
      <c r="A25" s="2" t="s">
        <v>389</v>
      </c>
      <c r="B25" s="4" t="s">
        <v>273</v>
      </c>
      <c r="C25" s="106" t="s">
        <v>1036</v>
      </c>
      <c r="D25" s="81">
        <f>INPUT!C24</f>
        <v>5581644766.0199995</v>
      </c>
      <c r="E25" s="4" t="s">
        <v>956</v>
      </c>
      <c r="F25" s="124">
        <f>INPUT!C25+INPUT!C382</f>
        <v>3087706350.1599998</v>
      </c>
      <c r="G25" s="30">
        <f>ROUND(+$F$25*(G12/$F$12),10)</f>
        <v>3087706350.1599998</v>
      </c>
      <c r="H25" s="81">
        <f>ROUND(+$F$25*(H12/$F$12),10)</f>
        <v>0</v>
      </c>
    </row>
    <row r="26" spans="1:8" ht="12.75">
      <c r="A26" s="3"/>
      <c r="B26" s="3"/>
      <c r="C26" s="106"/>
      <c r="D26" s="120"/>
      <c r="E26" s="2"/>
      <c r="F26" s="106"/>
      <c r="G26" s="54"/>
      <c r="H26" s="120"/>
    </row>
    <row r="27" spans="1:8" ht="12.75">
      <c r="A27" s="2" t="s">
        <v>391</v>
      </c>
      <c r="B27" s="2" t="s">
        <v>122</v>
      </c>
      <c r="C27" s="106"/>
      <c r="D27" s="81">
        <f>INPUT!C26</f>
        <v>97452517.049999997</v>
      </c>
      <c r="E27" s="2" t="s">
        <v>383</v>
      </c>
      <c r="F27" s="124">
        <f>ROUND(+$D$27*'B7'!D42,10)</f>
        <v>49412695.743772201</v>
      </c>
      <c r="G27" s="30">
        <f>ROUND(+$D$27*'B7'!E42,10)</f>
        <v>33681064.943523303</v>
      </c>
      <c r="H27" s="81">
        <f>ROUND(+$D$27*'B7'!F42,10)</f>
        <v>15731630.8002489</v>
      </c>
    </row>
    <row r="28" spans="1:8" ht="12.75">
      <c r="A28" s="3"/>
      <c r="B28" s="3"/>
      <c r="C28" s="106"/>
      <c r="D28" s="120"/>
      <c r="E28" s="3"/>
      <c r="F28" s="106"/>
      <c r="G28" s="54"/>
      <c r="H28" s="120"/>
    </row>
    <row r="29" spans="1:8" ht="12.75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3137119045.9037719</v>
      </c>
      <c r="G29" s="30">
        <f>SUM(G25:G28)</f>
        <v>3121387415.1035233</v>
      </c>
      <c r="H29" s="81">
        <f>SUM(H25:H28)</f>
        <v>15731630.8002489</v>
      </c>
    </row>
    <row r="30" spans="1:8" ht="12.75">
      <c r="B30" s="3"/>
      <c r="C30" s="106"/>
      <c r="D30" s="120"/>
      <c r="E30" s="3"/>
      <c r="F30" s="106"/>
      <c r="G30" s="54"/>
      <c r="H30" s="120"/>
    </row>
    <row r="31" spans="1:8" ht="12.75">
      <c r="A31" s="2" t="s">
        <v>394</v>
      </c>
      <c r="B31" s="4" t="s">
        <v>225</v>
      </c>
      <c r="C31" s="118" t="s">
        <v>211</v>
      </c>
      <c r="D31" s="81">
        <f>INPUT!C27</f>
        <v>178868763.13963819</v>
      </c>
      <c r="E31" s="4" t="s">
        <v>850</v>
      </c>
      <c r="F31" s="124">
        <f>-B6a!D71</f>
        <v>58356995.049638271</v>
      </c>
      <c r="G31" s="30">
        <f>-B6a!E71</f>
        <v>147372388.95366591</v>
      </c>
      <c r="H31" s="81">
        <f>-B6a!F71</f>
        <v>-89015393.904027671</v>
      </c>
    </row>
    <row r="32" spans="1:8" ht="12.75">
      <c r="A32" s="3"/>
      <c r="B32" s="3"/>
      <c r="C32" s="116"/>
      <c r="D32" s="120"/>
      <c r="E32" s="3"/>
      <c r="F32" s="106"/>
      <c r="G32" s="54"/>
      <c r="H32" s="120"/>
    </row>
    <row r="33" spans="1:8" ht="12.75">
      <c r="A33" s="3"/>
      <c r="B33" s="3"/>
      <c r="C33" s="116"/>
      <c r="D33" s="83"/>
      <c r="F33" s="127"/>
      <c r="G33" s="80"/>
      <c r="H33" s="83"/>
    </row>
    <row r="34" spans="1:8" ht="12.75">
      <c r="A34" s="3"/>
      <c r="B34" s="3"/>
      <c r="C34" s="116"/>
      <c r="D34" s="120"/>
      <c r="E34" s="3"/>
      <c r="F34" s="106"/>
      <c r="G34" s="54"/>
      <c r="H34" s="120"/>
    </row>
    <row r="35" spans="1:8" ht="12.75">
      <c r="A35" s="3"/>
      <c r="B35" s="3"/>
      <c r="C35" s="201"/>
      <c r="D35" s="121"/>
      <c r="E35" s="3"/>
      <c r="F35" s="107"/>
      <c r="G35" s="90"/>
      <c r="H35" s="121"/>
    </row>
    <row r="36" spans="1:8" ht="12.75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 ht="12.75">
      <c r="A37" s="2" t="s">
        <v>400</v>
      </c>
      <c r="B37" s="4" t="s">
        <v>1083</v>
      </c>
      <c r="C37" s="3"/>
      <c r="D37" s="3"/>
      <c r="E37" s="3"/>
      <c r="F37" s="3"/>
      <c r="G37" s="3"/>
      <c r="H37" s="3"/>
    </row>
    <row r="38" spans="1:8" ht="12.75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 ht="12.75">
      <c r="A39" s="4" t="s">
        <v>404</v>
      </c>
      <c r="B39" s="4" t="s">
        <v>659</v>
      </c>
    </row>
    <row r="40" spans="1:8" ht="12.75">
      <c r="A40" s="4" t="s">
        <v>251</v>
      </c>
      <c r="B40" s="2" t="s">
        <v>849</v>
      </c>
      <c r="D40" s="14"/>
    </row>
    <row r="43" spans="1:8" ht="12.75">
      <c r="A43" s="205" t="s">
        <v>912</v>
      </c>
      <c r="B43" s="204"/>
      <c r="C43" s="204"/>
      <c r="D43" s="204"/>
      <c r="E43" s="204"/>
      <c r="F43" s="204"/>
      <c r="G43" s="204"/>
      <c r="H43" s="204"/>
    </row>
    <row r="44" spans="1:8" ht="12.75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 ht="12.75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 ht="12.75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 ht="12.75">
      <c r="A47" s="204">
        <v>13</v>
      </c>
      <c r="B47" s="204" t="s">
        <v>867</v>
      </c>
      <c r="C47" s="204"/>
      <c r="D47" s="204"/>
      <c r="E47" s="204"/>
      <c r="F47" s="204"/>
      <c r="G47" s="204"/>
      <c r="H47" s="204"/>
    </row>
    <row r="48" spans="1:8" ht="12.75">
      <c r="A48" s="204"/>
      <c r="B48" s="204"/>
      <c r="C48" s="207"/>
      <c r="D48" s="208"/>
      <c r="E48" s="204"/>
      <c r="F48" s="204"/>
      <c r="G48" s="204"/>
      <c r="H48" s="204"/>
    </row>
    <row r="49" spans="1:8" ht="12.75">
      <c r="A49" s="204">
        <v>14</v>
      </c>
      <c r="B49" s="204" t="s">
        <v>658</v>
      </c>
      <c r="C49" s="204" t="s">
        <v>907</v>
      </c>
      <c r="D49" s="207">
        <f>INPUT!C20</f>
        <v>16194335798</v>
      </c>
      <c r="E49" s="204" t="s">
        <v>908</v>
      </c>
      <c r="F49" s="204">
        <v>6541041200</v>
      </c>
      <c r="G49" s="204">
        <f>+F49</f>
        <v>6541041200</v>
      </c>
      <c r="H49" s="204">
        <v>0</v>
      </c>
    </row>
    <row r="50" spans="1:8" ht="12.75">
      <c r="A50" s="204">
        <v>15</v>
      </c>
      <c r="B50" s="204" t="s">
        <v>911</v>
      </c>
      <c r="C50" s="203" t="s">
        <v>1043</v>
      </c>
      <c r="D50" s="204" t="s">
        <v>272</v>
      </c>
      <c r="E50" s="204"/>
      <c r="F50" s="209">
        <f>+'B3-B4'!D7</f>
        <v>82615503.500000015</v>
      </c>
      <c r="G50" s="209">
        <f>+'B3-B4'!D7</f>
        <v>82615503.500000015</v>
      </c>
      <c r="H50" s="209">
        <v>0</v>
      </c>
    </row>
    <row r="51" spans="1:8" ht="12.75">
      <c r="A51" s="204">
        <v>16</v>
      </c>
      <c r="B51" s="204" t="s">
        <v>658</v>
      </c>
      <c r="C51" s="203" t="s">
        <v>1044</v>
      </c>
      <c r="D51" s="204"/>
      <c r="E51" s="204"/>
      <c r="F51" s="204">
        <f>+F49+F50</f>
        <v>6623656703.5</v>
      </c>
      <c r="G51" s="204">
        <f>+G49+G50</f>
        <v>6623656703.5</v>
      </c>
      <c r="H51" s="204">
        <f>+H49+H50</f>
        <v>0</v>
      </c>
    </row>
    <row r="52" spans="1:8" ht="12.75">
      <c r="A52" s="204"/>
      <c r="B52" s="204"/>
      <c r="C52" s="204"/>
      <c r="D52" s="204"/>
      <c r="E52" s="204"/>
      <c r="F52" s="204"/>
      <c r="G52" s="204"/>
      <c r="H52" s="204"/>
    </row>
    <row r="53" spans="1:8" ht="12.75">
      <c r="A53" s="204">
        <v>17</v>
      </c>
      <c r="B53" s="204" t="s">
        <v>1072</v>
      </c>
      <c r="C53" s="204"/>
      <c r="D53" s="204"/>
      <c r="E53" s="204"/>
      <c r="F53" s="204"/>
      <c r="G53" s="204"/>
      <c r="H53" s="204"/>
    </row>
    <row r="54" spans="1:8" ht="12.75">
      <c r="A54" s="204">
        <v>18</v>
      </c>
      <c r="B54" s="204" t="s">
        <v>909</v>
      </c>
      <c r="C54" s="204" t="s">
        <v>1041</v>
      </c>
      <c r="D54" s="204">
        <f>INPUT!C24</f>
        <v>5581644766.0199995</v>
      </c>
      <c r="E54" s="204" t="s">
        <v>1041</v>
      </c>
      <c r="F54" s="204">
        <v>-3063219659.9200001</v>
      </c>
      <c r="G54" s="204">
        <f>+F54</f>
        <v>-3063219659.9200001</v>
      </c>
      <c r="H54" s="204">
        <v>0</v>
      </c>
    </row>
    <row r="55" spans="1:8" ht="12.75">
      <c r="A55" s="204">
        <v>19</v>
      </c>
      <c r="B55" s="204" t="s">
        <v>910</v>
      </c>
      <c r="C55" s="204" t="s">
        <v>868</v>
      </c>
      <c r="D55" s="204" t="s">
        <v>272</v>
      </c>
      <c r="E55" s="204" t="s">
        <v>272</v>
      </c>
      <c r="F55" s="209">
        <f>-+INPUT!C382</f>
        <v>-24486690.240000002</v>
      </c>
      <c r="G55" s="209">
        <f>-+INPUT!C382</f>
        <v>-24486690.240000002</v>
      </c>
      <c r="H55" s="209">
        <v>0</v>
      </c>
    </row>
    <row r="56" spans="1:8" ht="12.75">
      <c r="A56" s="204">
        <v>20</v>
      </c>
      <c r="B56" s="204" t="s">
        <v>1065</v>
      </c>
      <c r="C56" s="204" t="s">
        <v>1045</v>
      </c>
      <c r="D56" s="204"/>
      <c r="E56" s="204"/>
      <c r="F56" s="204">
        <f>+F54+F55</f>
        <v>-3087706350.1599998</v>
      </c>
      <c r="G56" s="204">
        <f>+G54+G55</f>
        <v>-3087706350.1599998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75"/>
  <sheetViews>
    <sheetView zoomScale="115" zoomScaleNormal="115" workbookViewId="0">
      <pane xSplit="3" ySplit="6" topLeftCell="D46" activePane="bottomRight" state="frozen"/>
      <selection activeCell="H22" sqref="H22"/>
      <selection pane="topRight" activeCell="H22" sqref="H22"/>
      <selection pane="bottomLeft" activeCell="H22" sqref="H22"/>
      <selection pane="bottomRight" activeCell="D7" sqref="D7"/>
    </sheetView>
  </sheetViews>
  <sheetFormatPr defaultColWidth="9" defaultRowHeight="12"/>
  <cols>
    <col min="1" max="1" width="5.625" style="3" customWidth="1"/>
    <col min="2" max="2" width="8" style="3" customWidth="1"/>
    <col min="3" max="3" width="24.375" style="3" bestFit="1" customWidth="1"/>
    <col min="4" max="8" width="14.625" style="3" customWidth="1"/>
    <col min="9" max="16384" width="9" style="3"/>
  </cols>
  <sheetData>
    <row r="1" spans="1:35" ht="12.75">
      <c r="A1" s="4" t="s">
        <v>687</v>
      </c>
      <c r="B1"/>
      <c r="H1" s="41" t="s">
        <v>972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12/31/2021 (actuals) for 2022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6041283.669999999</v>
      </c>
      <c r="E7" s="134">
        <f>+D7</f>
        <v>6041283.669999999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84730440.86999999</v>
      </c>
      <c r="E8" s="134"/>
      <c r="F8" s="134">
        <f>+D8</f>
        <v>84730440.86999999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-4777012.2800000012</v>
      </c>
      <c r="E9" s="134"/>
      <c r="F9" s="134"/>
      <c r="G9" s="134">
        <f>+D9</f>
        <v>-4777012.2800000012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136941563.43036175</v>
      </c>
      <c r="E10" s="134"/>
      <c r="F10" s="134"/>
      <c r="G10" s="134"/>
      <c r="H10" s="134">
        <f>+D10</f>
        <v>136941563.43036175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222936275.69036174</v>
      </c>
      <c r="E11" s="136">
        <f>SUM(E7:E10)</f>
        <v>6041283.669999999</v>
      </c>
      <c r="F11" s="136">
        <f>SUM(F7:F10)</f>
        <v>84730440.86999999</v>
      </c>
      <c r="G11" s="136">
        <f>SUM(G7:G10)</f>
        <v>-4777012.2800000012</v>
      </c>
      <c r="H11" s="136">
        <f>SUM(H7:H10)</f>
        <v>136941563.43036175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84730440.86999999</v>
      </c>
      <c r="G13" s="134">
        <f>+G11*G12</f>
        <v>-4777012.2800000012</v>
      </c>
      <c r="H13" s="134">
        <f>+H11*H12</f>
        <v>136941563.43036175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-4777012.2800000012</v>
      </c>
      <c r="H15" s="134">
        <f>+H13*INPUT!C78</f>
        <v>93343170.666334078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84730440.86999999</v>
      </c>
      <c r="G16" s="134">
        <v>0</v>
      </c>
      <c r="H16" s="134">
        <f>+H13*INPUT!C79</f>
        <v>43598392.76402767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1090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-235940636.36000001</v>
      </c>
      <c r="E21" s="134"/>
      <c r="F21" s="134"/>
      <c r="G21" s="134">
        <f>+D21</f>
        <v>-235940636.36000001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-235940636.36000001</v>
      </c>
      <c r="E23" s="138">
        <f>SUM(E19:E22)</f>
        <v>0</v>
      </c>
      <c r="F23" s="138">
        <f>SUM(F19:F22)</f>
        <v>0</v>
      </c>
      <c r="G23" s="138">
        <f>SUM(G19:G22)</f>
        <v>-235940636.36000001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-235940636.36000001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-235940636.36000001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1090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-11862309.35</v>
      </c>
      <c r="E33" s="134">
        <f>+D33</f>
        <v>-11862309.35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0</v>
      </c>
      <c r="E34" s="134"/>
      <c r="F34" s="134">
        <f>+D34</f>
        <v>0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2089.0199999999895</v>
      </c>
      <c r="E35" s="134"/>
      <c r="F35" s="134"/>
      <c r="G35" s="134">
        <f>+D35</f>
        <v>2089.0199999999895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0</v>
      </c>
      <c r="E36" s="134"/>
      <c r="F36" s="134"/>
      <c r="G36" s="134"/>
      <c r="H36" s="134">
        <f>+D36</f>
        <v>0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-11860220.33</v>
      </c>
      <c r="E37" s="138">
        <f>SUM(E33:E36)</f>
        <v>-11862309.35</v>
      </c>
      <c r="F37" s="138">
        <f>SUM(F33:F36)</f>
        <v>0</v>
      </c>
      <c r="G37" s="138">
        <f>SUM(G33:G36)</f>
        <v>2089.0199999999895</v>
      </c>
      <c r="H37" s="138">
        <f>SUM(H33:H36)</f>
        <v>0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0</v>
      </c>
      <c r="G39" s="151">
        <f>+G37*G38</f>
        <v>2089.0199999999895</v>
      </c>
      <c r="H39" s="151">
        <f>+H37*H38</f>
        <v>0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2089.0199999999895</v>
      </c>
      <c r="H41" s="151">
        <f>+H39*INPUT!C78</f>
        <v>0</v>
      </c>
    </row>
    <row r="42" spans="1:8">
      <c r="A42" s="19">
        <v>29</v>
      </c>
      <c r="C42" s="133" t="s">
        <v>396</v>
      </c>
      <c r="E42" s="151"/>
      <c r="F42" s="151">
        <f>+F39*1</f>
        <v>0</v>
      </c>
      <c r="G42" s="151">
        <v>0</v>
      </c>
      <c r="H42" s="151">
        <f>+H39*INPUT!C79</f>
        <v>0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1090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-114690742.40999988</v>
      </c>
      <c r="E46" s="153">
        <f>+D46</f>
        <v>-114690742.40999988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-39313439.729999997</v>
      </c>
      <c r="F47" s="153">
        <f>+D47</f>
        <v>-39313439.729999997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0</v>
      </c>
      <c r="G48" s="153">
        <f>+D48</f>
        <v>0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0</v>
      </c>
      <c r="H49" s="153">
        <f>+D49</f>
        <v>0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-154004182.13999987</v>
      </c>
      <c r="E50" s="138">
        <f>SUM(E46:E49)</f>
        <v>-114690742.40999988</v>
      </c>
      <c r="F50" s="138">
        <f>SUM(F46:F49)</f>
        <v>-39313439.729999997</v>
      </c>
      <c r="G50" s="138">
        <f>SUM(G46:G49)</f>
        <v>0</v>
      </c>
      <c r="H50" s="138">
        <f>SUM(H46:H49)</f>
        <v>0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-39313439.729999997</v>
      </c>
      <c r="G52" s="153">
        <f>+G51*G50</f>
        <v>0</v>
      </c>
      <c r="H52" s="153">
        <f>+H51*H50</f>
        <v>0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0</v>
      </c>
      <c r="H54" s="54">
        <f>+H52*INPUT!C78</f>
        <v>0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-39313439.729999997</v>
      </c>
      <c r="G55" s="54">
        <v>0</v>
      </c>
      <c r="H55" s="54">
        <f>+H52*INPUT!C79</f>
        <v>0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1090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0</v>
      </c>
      <c r="E58" s="153">
        <f>+D58</f>
        <v>0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0</v>
      </c>
      <c r="G60" s="153">
        <f>+D60</f>
        <v>0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0</v>
      </c>
      <c r="E62" s="138">
        <f>SUM(E58:E61)</f>
        <v>0</v>
      </c>
      <c r="F62" s="138">
        <f>SUM(F58:F61)</f>
        <v>0</v>
      </c>
      <c r="G62" s="138">
        <f>SUM(G58:G61)</f>
        <v>0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0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45417001.139999993</v>
      </c>
      <c r="E68" s="151">
        <f>+F15+F41+F54</f>
        <v>0</v>
      </c>
      <c r="F68" s="54">
        <f>+F16+F42+F55</f>
        <v>45417001.139999993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-240715559.62</v>
      </c>
      <c r="E69" s="54">
        <f>+G15+G27+G41+G54+G64</f>
        <v>-240715559.62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136941563.43036175</v>
      </c>
      <c r="E70" s="54">
        <f>+H15+H41+H54</f>
        <v>93343170.666334078</v>
      </c>
      <c r="F70" s="54">
        <f>+H16+H42+H55</f>
        <v>43598392.76402767</v>
      </c>
      <c r="G70" s="54"/>
      <c r="H70" s="92"/>
    </row>
    <row r="71" spans="1:8" ht="12.75" thickBot="1">
      <c r="A71" s="19">
        <v>52</v>
      </c>
      <c r="C71" s="3" t="s">
        <v>77</v>
      </c>
      <c r="D71" s="103">
        <f>SUM(D68:D70)</f>
        <v>-58356995.049638271</v>
      </c>
      <c r="E71" s="103">
        <f>SUM(E68:E70)</f>
        <v>-147372388.95366591</v>
      </c>
      <c r="F71" s="103">
        <f>SUM(F68:F70)</f>
        <v>89015393.904027671</v>
      </c>
      <c r="G71" s="54"/>
      <c r="H71" s="92"/>
    </row>
    <row r="72" spans="1:8" ht="12.75" thickTop="1">
      <c r="H72" s="92"/>
    </row>
    <row r="74" spans="1:8">
      <c r="B74" s="32" t="s">
        <v>832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I56"/>
  <sheetViews>
    <sheetView zoomScaleNormal="100" workbookViewId="0">
      <selection activeCell="F49" sqref="F49"/>
    </sheetView>
  </sheetViews>
  <sheetFormatPr defaultColWidth="9" defaultRowHeight="12"/>
  <cols>
    <col min="1" max="1" width="28.375" style="37" customWidth="1"/>
    <col min="2" max="2" width="11.625" style="37" customWidth="1"/>
    <col min="3" max="3" width="9.625" style="37" customWidth="1"/>
    <col min="4" max="4" width="11.125" style="37" customWidth="1"/>
    <col min="5" max="6" width="10.625" style="37" customWidth="1"/>
    <col min="7" max="7" width="28.875" style="37" customWidth="1"/>
    <col min="8" max="16384" width="9" style="37"/>
  </cols>
  <sheetData>
    <row r="1" spans="1:35" ht="12.75">
      <c r="A1" s="4" t="s">
        <v>30</v>
      </c>
      <c r="B1"/>
      <c r="C1" s="3"/>
      <c r="G1" s="18" t="s">
        <v>972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 ht="12.75">
      <c r="A2" s="30" t="str">
        <f>INPUT!$B$2</f>
        <v>12 Months Ending 12/31/2021 (actuals) for 2022</v>
      </c>
      <c r="B2" s="3"/>
      <c r="C2" s="3"/>
      <c r="D2" s="3"/>
      <c r="E2" s="3"/>
      <c r="G2" s="18" t="s">
        <v>31</v>
      </c>
    </row>
    <row r="3" spans="1:35" ht="12.75">
      <c r="A3" s="3"/>
      <c r="B3" s="3"/>
      <c r="C3" s="3"/>
      <c r="D3" s="3"/>
      <c r="E3" s="3"/>
      <c r="G3" s="18" t="s">
        <v>806</v>
      </c>
    </row>
    <row r="4" spans="1:35" ht="12.75">
      <c r="A4" s="3"/>
      <c r="B4" s="3"/>
      <c r="C4" s="3"/>
      <c r="D4" s="3"/>
      <c r="E4" s="3"/>
      <c r="F4"/>
    </row>
    <row r="5" spans="1:35" ht="12.75">
      <c r="B5" s="3"/>
      <c r="C5" s="3"/>
      <c r="D5" s="3"/>
      <c r="E5" s="3"/>
      <c r="F5" s="18"/>
    </row>
    <row r="6" spans="1:35" ht="12.75">
      <c r="A6" s="3"/>
      <c r="B6" s="46" t="s">
        <v>62</v>
      </c>
      <c r="C6" s="23"/>
      <c r="D6" s="23"/>
      <c r="E6" s="23"/>
      <c r="F6" s="23"/>
    </row>
    <row r="7" spans="1:35" ht="12.75">
      <c r="A7" s="3"/>
      <c r="B7" s="3"/>
      <c r="C7" s="3"/>
      <c r="D7" s="3"/>
      <c r="E7" s="3"/>
      <c r="F7" s="3"/>
    </row>
    <row r="8" spans="1:35" ht="12.75">
      <c r="A8" s="3"/>
      <c r="B8" s="1" t="s">
        <v>77</v>
      </c>
      <c r="C8" s="3"/>
      <c r="D8" s="1" t="s">
        <v>78</v>
      </c>
      <c r="E8" s="3"/>
      <c r="F8" s="3"/>
    </row>
    <row r="9" spans="1:35" ht="12.7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 ht="12.7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880</v>
      </c>
    </row>
    <row r="11" spans="1:35" ht="12.7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 ht="12.75">
      <c r="A12" s="3"/>
      <c r="B12" s="3"/>
      <c r="C12" s="3"/>
      <c r="D12" s="3"/>
      <c r="E12" s="3"/>
      <c r="F12" s="3"/>
    </row>
    <row r="13" spans="1:35" ht="12.75">
      <c r="A13" s="4" t="s">
        <v>275</v>
      </c>
      <c r="B13" s="3"/>
      <c r="C13" s="3"/>
      <c r="D13" s="3"/>
      <c r="E13" s="3"/>
      <c r="F13" s="3"/>
    </row>
    <row r="14" spans="1:35" ht="12.75">
      <c r="A14" s="2" t="s">
        <v>720</v>
      </c>
      <c r="B14" s="14">
        <f>INPUT!C54</f>
        <v>16003857</v>
      </c>
      <c r="C14" s="1" t="s">
        <v>383</v>
      </c>
      <c r="D14" s="14">
        <f>B14*F53</f>
        <v>8114656.6727859695</v>
      </c>
      <c r="E14" s="3">
        <f>D14*INPUT!C78</f>
        <v>5531175.2234503208</v>
      </c>
      <c r="F14" s="3">
        <f>D14*INPUT!C79</f>
        <v>2583481.4493356491</v>
      </c>
      <c r="G14" s="2" t="s">
        <v>869</v>
      </c>
    </row>
    <row r="15" spans="1:35" ht="12.7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 ht="12.75">
      <c r="A16" s="4" t="s">
        <v>549</v>
      </c>
      <c r="B16" s="14">
        <f>SUM(B14:B15)</f>
        <v>16003857</v>
      </c>
      <c r="C16" s="3"/>
      <c r="D16" s="14">
        <f>SUM(D14:D15)</f>
        <v>8114656.6727859695</v>
      </c>
      <c r="E16" s="14">
        <f>SUM(E14:E15)</f>
        <v>5531175.2234503208</v>
      </c>
      <c r="F16" s="14">
        <f>SUM(F14:F15)</f>
        <v>2583481.4493356491</v>
      </c>
      <c r="G16" s="2" t="s">
        <v>869</v>
      </c>
    </row>
    <row r="17" spans="1:7" ht="12.75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 ht="12.75">
      <c r="A18" s="2" t="s">
        <v>721</v>
      </c>
      <c r="B18" s="14">
        <f>INPUT!C56</f>
        <v>155037041</v>
      </c>
      <c r="C18" s="1" t="s">
        <v>383</v>
      </c>
      <c r="D18" s="14">
        <f>B18*$F$53</f>
        <v>78610572.393869922</v>
      </c>
      <c r="E18" s="3">
        <f>D18*INPUT!C78</f>
        <v>53583148.105875447</v>
      </c>
      <c r="F18" s="3">
        <f>D18*INPUT!C79</f>
        <v>25027424.287994478</v>
      </c>
      <c r="G18" s="2" t="s">
        <v>870</v>
      </c>
    </row>
    <row r="19" spans="1:7" ht="12.75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 ht="12.75">
      <c r="A20" s="4" t="s">
        <v>551</v>
      </c>
      <c r="B20" s="14">
        <f>SUM(B18:B19)</f>
        <v>155037041</v>
      </c>
      <c r="C20" s="3"/>
      <c r="D20" s="14">
        <f>SUM(D18:D19)</f>
        <v>78610572.393869922</v>
      </c>
      <c r="E20" s="14">
        <f>SUM(E18:E19)</f>
        <v>53583148.105875447</v>
      </c>
      <c r="F20" s="14">
        <f>SUM(F18:F19)</f>
        <v>25027424.287994478</v>
      </c>
      <c r="G20" s="2" t="s">
        <v>870</v>
      </c>
    </row>
    <row r="21" spans="1:7" ht="12.75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 ht="12.75">
      <c r="A22" s="2" t="s">
        <v>722</v>
      </c>
      <c r="B22" s="14">
        <f>INPUT!C58</f>
        <v>12023894</v>
      </c>
      <c r="C22" s="1" t="s">
        <v>383</v>
      </c>
      <c r="D22" s="14">
        <f>B22*$F$53</f>
        <v>6096641.0584630435</v>
      </c>
      <c r="E22" s="3">
        <f>D22*INPUT!C78</f>
        <v>4155639.7674756134</v>
      </c>
      <c r="F22" s="3">
        <f>D22*INPUT!C79</f>
        <v>1941001.2909874299</v>
      </c>
      <c r="G22" s="2" t="s">
        <v>871</v>
      </c>
    </row>
    <row r="23" spans="1:7" ht="12.75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 ht="12.75">
      <c r="A24" s="4" t="s">
        <v>553</v>
      </c>
      <c r="B24" s="14">
        <f>SUM(B22:B23)</f>
        <v>12023894</v>
      </c>
      <c r="C24" s="3"/>
      <c r="D24" s="14">
        <f>SUM(D22:D23)</f>
        <v>6096641.0584630435</v>
      </c>
      <c r="E24" s="14">
        <f>SUM(E22:E23)</f>
        <v>4155639.7674756134</v>
      </c>
      <c r="F24" s="14">
        <f>SUM(F22:F23)</f>
        <v>1941001.2909874299</v>
      </c>
      <c r="G24" s="2" t="s">
        <v>871</v>
      </c>
    </row>
    <row r="25" spans="1:7" ht="12.75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4398.0980322271998</v>
      </c>
      <c r="E25" s="14">
        <f>ROUND(+D25*INPUT!$C$78,10)</f>
        <v>2997.8656950139002</v>
      </c>
      <c r="F25" s="14">
        <f>ROUND(+D25*INPUT!$C$79,10)</f>
        <v>1400.2323372133001</v>
      </c>
      <c r="G25" s="2" t="s">
        <v>872</v>
      </c>
    </row>
    <row r="26" spans="1:7" ht="12.75">
      <c r="A26" s="4" t="s">
        <v>198</v>
      </c>
      <c r="B26" s="14">
        <f>INPUT!C61</f>
        <v>2075929</v>
      </c>
      <c r="C26" s="1" t="s">
        <v>383</v>
      </c>
      <c r="D26" s="14">
        <f t="shared" si="0"/>
        <v>1052586.9552620912</v>
      </c>
      <c r="E26" s="14">
        <f>ROUND(+D26*INPUT!$C$78,10)</f>
        <v>717472.48494172399</v>
      </c>
      <c r="F26" s="14">
        <f>ROUND(+D26*INPUT!$C$79,10)</f>
        <v>335114.47032036702</v>
      </c>
      <c r="G26" s="2" t="s">
        <v>873</v>
      </c>
    </row>
    <row r="27" spans="1:7" ht="12.75">
      <c r="A27" s="4" t="s">
        <v>203</v>
      </c>
      <c r="B27" s="14">
        <f>INPUT!C62</f>
        <v>41712876</v>
      </c>
      <c r="C27" s="1" t="s">
        <v>383</v>
      </c>
      <c r="D27" s="14">
        <f t="shared" si="0"/>
        <v>21150255.689893611</v>
      </c>
      <c r="E27" s="14">
        <f>ROUND(+D27*INPUT!$C$78,10)</f>
        <v>14416601.337418601</v>
      </c>
      <c r="F27" s="14">
        <f>ROUND(+D27*INPUT!$C$79,10)</f>
        <v>6733654.3524750397</v>
      </c>
      <c r="G27" s="2" t="s">
        <v>874</v>
      </c>
    </row>
    <row r="28" spans="1:7" ht="12.75">
      <c r="A28" s="4" t="s">
        <v>208</v>
      </c>
      <c r="B28" s="14">
        <f>INPUT!C63</f>
        <v>3072914</v>
      </c>
      <c r="C28" s="1" t="s">
        <v>383</v>
      </c>
      <c r="D28" s="14">
        <f t="shared" si="0"/>
        <v>1558102.0309664991</v>
      </c>
      <c r="E28" s="14">
        <f>ROUND(+D28*INPUT!$C$78,10)</f>
        <v>1062045.5919216</v>
      </c>
      <c r="F28" s="14">
        <f>ROUND(+D28*INPUT!$C$79,10)</f>
        <v>496056.439044901</v>
      </c>
      <c r="G28" s="2" t="s">
        <v>875</v>
      </c>
    </row>
    <row r="29" spans="1:7" ht="12.75">
      <c r="A29" s="4" t="s">
        <v>845</v>
      </c>
      <c r="B29" s="14">
        <f>INPUT!C64</f>
        <v>132429228</v>
      </c>
      <c r="C29" s="1" t="s">
        <v>383</v>
      </c>
      <c r="D29" s="14">
        <f t="shared" si="0"/>
        <v>67147420.691280514</v>
      </c>
      <c r="E29" s="14">
        <f>ROUND(+D29*INPUT!$C$78,10)</f>
        <v>45769545.727274001</v>
      </c>
      <c r="F29" s="14">
        <f>ROUND(+D29*INPUT!$C$79,10)</f>
        <v>21377874.964006599</v>
      </c>
      <c r="G29" s="2" t="s">
        <v>876</v>
      </c>
    </row>
    <row r="30" spans="1:7" ht="12.75">
      <c r="A30" s="2" t="s">
        <v>846</v>
      </c>
      <c r="B30" s="14">
        <f>INPUT!C65</f>
        <v>8106961</v>
      </c>
      <c r="C30" s="1" t="s">
        <v>383</v>
      </c>
      <c r="D30" s="14">
        <f t="shared" si="0"/>
        <v>4110584.4156609005</v>
      </c>
      <c r="E30" s="14">
        <f>ROUND(+D30*INPUT!$C$78,10)</f>
        <v>2801888.4335618601</v>
      </c>
      <c r="F30" s="14">
        <f>ROUND(+D30*INPUT!$C$79,10)</f>
        <v>1308695.9820990399</v>
      </c>
      <c r="G30" s="2" t="s">
        <v>1076</v>
      </c>
    </row>
    <row r="31" spans="1:7" ht="12.75">
      <c r="A31" s="4" t="s">
        <v>957</v>
      </c>
      <c r="B31" s="14">
        <f>B16+B20+B24+B25+B26+B27+B28+B29+B30</f>
        <v>370471374</v>
      </c>
      <c r="C31" s="3"/>
      <c r="D31" s="14">
        <f>D16+D20+D24+D25+D26+D27+D28+D29+D30</f>
        <v>187845218.00621477</v>
      </c>
      <c r="E31" s="14">
        <f>E16+E20+E24+E25+E26+E27+E28+E29+E30</f>
        <v>128040514.53761417</v>
      </c>
      <c r="F31" s="14">
        <f>F16+F20+F24+F25+F26+F27+F28+F29+F30</f>
        <v>59804703.46860072</v>
      </c>
      <c r="G31" s="2" t="s">
        <v>1077</v>
      </c>
    </row>
    <row r="32" spans="1:7" ht="12.75">
      <c r="A32" s="4" t="s">
        <v>230</v>
      </c>
      <c r="B32" s="3"/>
      <c r="C32" s="1" t="s">
        <v>385</v>
      </c>
      <c r="D32" s="45">
        <f>ROUND(+D31/$B$31,10)</f>
        <v>0.50704381279999999</v>
      </c>
      <c r="E32" s="45">
        <f>ROUND(+E31/$B$31,10)</f>
        <v>0.34561513659999998</v>
      </c>
      <c r="F32" s="45">
        <f>ROUND(+F31/$B$31,10)</f>
        <v>0.16142867620000001</v>
      </c>
    </row>
    <row r="33" spans="1:7" ht="12.75">
      <c r="A33" s="4" t="s">
        <v>235</v>
      </c>
      <c r="B33" s="3">
        <f>INPUT!C66</f>
        <v>0</v>
      </c>
      <c r="C33" s="19" t="s">
        <v>392</v>
      </c>
      <c r="D33" s="14">
        <f>B33*$F$53</f>
        <v>0</v>
      </c>
      <c r="E33" s="14">
        <f>ROUND(+D33*INPUT!$C$78,10)</f>
        <v>0</v>
      </c>
      <c r="F33" s="14">
        <f>ROUND(+D33*INPUT!$C$79,10)</f>
        <v>0</v>
      </c>
      <c r="G33" s="2" t="s">
        <v>1075</v>
      </c>
    </row>
    <row r="34" spans="1:7" ht="12.75">
      <c r="A34" s="3"/>
      <c r="B34" s="3"/>
      <c r="C34" s="3"/>
      <c r="D34" s="3"/>
      <c r="E34" s="3"/>
      <c r="F34" s="3"/>
    </row>
    <row r="35" spans="1:7" ht="12.75">
      <c r="A35" s="4" t="s">
        <v>1078</v>
      </c>
      <c r="B35" s="14">
        <f>+B31+B33</f>
        <v>370471374</v>
      </c>
      <c r="C35" s="3"/>
      <c r="D35" s="14">
        <f>+D31+D33</f>
        <v>187845218.00621477</v>
      </c>
      <c r="E35" s="14">
        <f>+E31+E33</f>
        <v>128040514.53761417</v>
      </c>
      <c r="F35" s="14">
        <f>+F31+F33</f>
        <v>59804703.46860072</v>
      </c>
      <c r="G35" s="2" t="s">
        <v>272</v>
      </c>
    </row>
    <row r="36" spans="1:7" ht="12.75">
      <c r="A36" s="4" t="s">
        <v>272</v>
      </c>
      <c r="B36" s="3"/>
      <c r="C36" s="3"/>
      <c r="D36" s="3"/>
      <c r="E36" s="3"/>
      <c r="F36" s="3"/>
    </row>
    <row r="37" spans="1:7" ht="12.75">
      <c r="A37" s="3"/>
      <c r="B37" s="3"/>
      <c r="C37" s="3"/>
      <c r="D37" s="3"/>
      <c r="E37" s="3"/>
      <c r="F37" s="3"/>
    </row>
    <row r="38" spans="1:7" ht="12.75">
      <c r="A38" s="3" t="s">
        <v>1079</v>
      </c>
      <c r="B38" s="3">
        <f>INPUT!C71</f>
        <v>279875549</v>
      </c>
      <c r="C38" s="19" t="s">
        <v>383</v>
      </c>
      <c r="D38" s="14">
        <f>ROUND(+B38*$F$53,0)</f>
        <v>141909165</v>
      </c>
      <c r="E38" s="14">
        <f>ROUND(+D38*INPUT!$C$78,10)</f>
        <v>96729225.779929206</v>
      </c>
      <c r="F38" s="14">
        <f>ROUND(+D38*INPUT!C79,10)</f>
        <v>45179939.220070802</v>
      </c>
      <c r="G38" s="2" t="s">
        <v>877</v>
      </c>
    </row>
    <row r="39" spans="1:7" ht="12.75">
      <c r="A39" s="3"/>
      <c r="B39" s="3"/>
      <c r="C39" s="3"/>
      <c r="D39" s="14"/>
      <c r="E39" s="14"/>
      <c r="F39" s="14"/>
    </row>
    <row r="40" spans="1:7" ht="12.75">
      <c r="A40" s="3" t="s">
        <v>1080</v>
      </c>
      <c r="B40" s="3">
        <f>B35+B38</f>
        <v>650346923</v>
      </c>
      <c r="C40" s="3"/>
      <c r="D40" s="3">
        <f>+D35+D38</f>
        <v>329754383.00621474</v>
      </c>
      <c r="E40" s="3">
        <f>+E35+E38</f>
        <v>224769740.31754339</v>
      </c>
      <c r="F40" s="3">
        <f>+F35+F38</f>
        <v>104984642.68867153</v>
      </c>
      <c r="G40" s="2" t="s">
        <v>1082</v>
      </c>
    </row>
    <row r="41" spans="1:7" ht="12.75">
      <c r="A41" s="3"/>
      <c r="B41" s="3"/>
      <c r="C41" s="3"/>
      <c r="D41" s="3"/>
      <c r="E41" s="3"/>
      <c r="F41" s="3"/>
    </row>
    <row r="42" spans="1:7" ht="12.75">
      <c r="A42" s="4" t="s">
        <v>1081</v>
      </c>
      <c r="B42" s="3"/>
      <c r="C42" s="1" t="s">
        <v>211</v>
      </c>
      <c r="D42" s="45">
        <f>ROUND(D40/$B$40,10)</f>
        <v>0.50704381210000005</v>
      </c>
      <c r="E42" s="45">
        <f>ROUND(E40/$B$40,10)</f>
        <v>0.3456151361</v>
      </c>
      <c r="F42" s="45">
        <f>ROUND(F40/$B$40,10)</f>
        <v>0.16142867599999999</v>
      </c>
    </row>
    <row r="43" spans="1:7" ht="12.75">
      <c r="A43" s="3"/>
      <c r="B43" s="3"/>
      <c r="C43" s="3"/>
      <c r="D43" s="3"/>
      <c r="E43" s="3"/>
      <c r="F43" s="3"/>
    </row>
    <row r="44" spans="1:7" ht="12.75">
      <c r="A44" s="3"/>
      <c r="B44" s="3"/>
      <c r="C44" s="3"/>
      <c r="D44" s="3"/>
      <c r="E44" s="3"/>
      <c r="F44" s="3"/>
    </row>
    <row r="45" spans="1:7" ht="12.75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 ht="12.75">
      <c r="A46" s="3" t="s">
        <v>1091</v>
      </c>
      <c r="B46" s="3"/>
      <c r="C46" s="3"/>
      <c r="D46" s="3"/>
      <c r="E46" s="3"/>
      <c r="F46" s="18" t="s">
        <v>272</v>
      </c>
      <c r="G46" s="18" t="s">
        <v>272</v>
      </c>
    </row>
    <row r="47" spans="1:7" ht="12.75">
      <c r="A47" s="4" t="s">
        <v>1092</v>
      </c>
      <c r="B47" s="3"/>
      <c r="C47" s="3"/>
      <c r="D47" s="3"/>
      <c r="E47" s="3"/>
      <c r="F47" s="3"/>
    </row>
    <row r="48" spans="1:7" ht="13.5" thickBot="1">
      <c r="A48" s="2" t="s">
        <v>255</v>
      </c>
      <c r="B48" s="3"/>
      <c r="C48" s="3"/>
      <c r="D48" s="3"/>
      <c r="E48" s="3"/>
      <c r="F48" s="3"/>
    </row>
    <row r="49" spans="1:6" ht="12.75">
      <c r="A49" s="63" t="s">
        <v>258</v>
      </c>
      <c r="B49" s="64"/>
      <c r="C49" s="64"/>
      <c r="D49" s="64"/>
      <c r="E49" s="64"/>
      <c r="F49" s="65"/>
    </row>
    <row r="50" spans="1:6" ht="12.75">
      <c r="A50" s="78" t="s">
        <v>745</v>
      </c>
      <c r="B50" s="54"/>
      <c r="C50" s="54"/>
      <c r="D50" s="54"/>
      <c r="E50" s="54"/>
      <c r="F50" s="67">
        <f>INPUT!C73</f>
        <v>144792391</v>
      </c>
    </row>
    <row r="51" spans="1:6" ht="12.75">
      <c r="A51" s="66" t="s">
        <v>262</v>
      </c>
      <c r="B51" s="54"/>
      <c r="C51" s="54"/>
      <c r="D51" s="54"/>
      <c r="E51" s="54"/>
      <c r="F51" s="68"/>
    </row>
    <row r="52" spans="1:6" ht="12.75">
      <c r="A52" s="78" t="s">
        <v>756</v>
      </c>
      <c r="B52" s="54"/>
      <c r="C52" s="54"/>
      <c r="D52" s="54"/>
      <c r="E52" s="54"/>
      <c r="F52" s="67">
        <f>INPUT!C74</f>
        <v>73416086</v>
      </c>
    </row>
    <row r="53" spans="1:6" ht="13.5" thickBot="1">
      <c r="A53" s="84" t="s">
        <v>542</v>
      </c>
      <c r="B53" s="69"/>
      <c r="C53" s="69"/>
      <c r="D53" s="69"/>
      <c r="E53" s="69"/>
      <c r="F53" s="70">
        <f>ROUND(+F52/F50,10)</f>
        <v>0.50704381279999999</v>
      </c>
    </row>
    <row r="54" spans="1:6" ht="12.75">
      <c r="A54" s="4" t="s">
        <v>1093</v>
      </c>
      <c r="B54" s="3"/>
      <c r="C54" s="3"/>
      <c r="D54" s="3"/>
      <c r="E54" s="3"/>
      <c r="F54" s="3"/>
    </row>
    <row r="55" spans="1:6" ht="12.75">
      <c r="A55" s="4" t="s">
        <v>1094</v>
      </c>
      <c r="B55" s="47"/>
      <c r="C55" s="47"/>
      <c r="D55" s="47"/>
      <c r="E55" s="47"/>
      <c r="F55" s="47"/>
    </row>
    <row r="56" spans="1:6" ht="12.75">
      <c r="A56" s="4" t="s">
        <v>1095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I51"/>
  <sheetViews>
    <sheetView topLeftCell="S1" zoomScaleNormal="100" workbookViewId="0">
      <selection activeCell="AF25" sqref="AF25"/>
    </sheetView>
  </sheetViews>
  <sheetFormatPr defaultColWidth="9" defaultRowHeight="12"/>
  <cols>
    <col min="1" max="1" width="38.375" style="37" customWidth="1"/>
    <col min="2" max="2" width="22" style="37" customWidth="1"/>
    <col min="3" max="3" width="12.75" style="37" customWidth="1"/>
    <col min="4" max="4" width="11.25" style="37" customWidth="1"/>
    <col min="5" max="5" width="13.875" style="37" customWidth="1"/>
    <col min="6" max="6" width="9" style="37"/>
    <col min="7" max="7" width="28.875" style="37" customWidth="1"/>
    <col min="8" max="8" width="18.875" style="37" customWidth="1"/>
    <col min="9" max="9" width="12.125" style="37" customWidth="1"/>
    <col min="10" max="10" width="11.75" style="37" customWidth="1"/>
    <col min="11" max="11" width="11.875" style="37" customWidth="1"/>
    <col min="12" max="12" width="11" style="37" customWidth="1"/>
    <col min="13" max="13" width="10.625" style="37" customWidth="1"/>
    <col min="14" max="14" width="9" style="37"/>
    <col min="15" max="15" width="7.125" style="37" customWidth="1"/>
    <col min="16" max="16" width="29.625" style="37" customWidth="1"/>
    <col min="17" max="17" width="8.25" style="37" customWidth="1"/>
    <col min="18" max="18" width="13.25" style="37" customWidth="1"/>
    <col min="19" max="19" width="11.375" style="37" customWidth="1"/>
    <col min="20" max="20" width="11.625" style="37" customWidth="1"/>
    <col min="21" max="21" width="10.875" style="37" customWidth="1"/>
    <col min="22" max="23" width="10.375" style="37" customWidth="1"/>
    <col min="24" max="24" width="22.875" style="37" customWidth="1"/>
    <col min="25" max="16384" width="9" style="37"/>
  </cols>
  <sheetData>
    <row r="1" spans="1:35" ht="12.75">
      <c r="A1" s="4" t="s">
        <v>32</v>
      </c>
      <c r="B1" s="220"/>
      <c r="C1" s="3"/>
      <c r="D1" s="3"/>
      <c r="E1" s="41" t="s">
        <v>972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972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972</v>
      </c>
      <c r="Y1" s="3"/>
      <c r="Z1" s="3"/>
      <c r="AA1" s="3"/>
      <c r="AC1" s="37" t="s">
        <v>272</v>
      </c>
      <c r="AI1" s="37" t="s">
        <v>272</v>
      </c>
    </row>
    <row r="2" spans="1:35" ht="12.75">
      <c r="A2" s="30" t="str">
        <f>INPUT!$B$2</f>
        <v>12 Months Ending 12/31/2021 (actuals) for 2022</v>
      </c>
      <c r="B2" s="3"/>
      <c r="C2" s="3"/>
      <c r="D2" s="3"/>
      <c r="E2" s="18" t="s">
        <v>33</v>
      </c>
      <c r="F2" s="3"/>
      <c r="G2" s="30" t="str">
        <f>INPUT!$B$2</f>
        <v>12 Months Ending 12/31/2021 (actuals) for 2022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12/31/2021 (actuals) for 2022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 ht="12.7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 ht="12.7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 ht="12.7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 ht="12.7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 ht="12.7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880</v>
      </c>
      <c r="Y8" s="3"/>
      <c r="Z8" s="3"/>
      <c r="AA8" s="3"/>
    </row>
    <row r="9" spans="1:35" ht="12.75">
      <c r="A9" s="3" t="s">
        <v>496</v>
      </c>
      <c r="B9" s="32" t="s">
        <v>1046</v>
      </c>
      <c r="C9" s="3">
        <f>'B11-B14'!AG25</f>
        <v>815417617.49000001</v>
      </c>
      <c r="D9" s="3">
        <f>'B11-B14'!AH25</f>
        <v>205068187</v>
      </c>
      <c r="E9" s="3">
        <f>'B11-B14'!AI25</f>
        <v>610349430.49000001</v>
      </c>
      <c r="F9" s="3"/>
      <c r="G9" s="2" t="s">
        <v>768</v>
      </c>
      <c r="H9" s="4" t="s">
        <v>1054</v>
      </c>
      <c r="I9" s="14">
        <f>INPUT!C81+INPUT!C87+INPUT!C88</f>
        <v>67085808.960999995</v>
      </c>
      <c r="J9" s="1"/>
      <c r="K9" s="14">
        <f>I9</f>
        <v>67085808.960999995</v>
      </c>
      <c r="L9" s="14">
        <v>0</v>
      </c>
      <c r="M9" s="14">
        <f>K9</f>
        <v>67085808.960999995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 ht="12.7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 ht="12.75">
      <c r="A11" s="32" t="s">
        <v>652</v>
      </c>
      <c r="B11" s="32" t="s">
        <v>1047</v>
      </c>
      <c r="C11" s="3">
        <f>-'B11-B14'!AG11-'B11-B14'!AG12-'B11-B14'!AG13</f>
        <v>-26000502.489999998</v>
      </c>
      <c r="D11" s="3">
        <f>-'B11-B14'!AH11-'B11-B14'!AH12-'B11-B14'!AH13</f>
        <v>0</v>
      </c>
      <c r="E11" s="3">
        <f>-'B11-B14'!AI11-'B11-B14'!AI12-'B11-B14'!AI13</f>
        <v>-26000502.489999998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 ht="12.75">
      <c r="A12" s="3" t="s">
        <v>497</v>
      </c>
      <c r="B12" s="32" t="s">
        <v>1048</v>
      </c>
      <c r="C12" s="3">
        <f>-'B11-B14'!AG22</f>
        <v>-579121879</v>
      </c>
      <c r="D12" s="3">
        <f>-'B11-B14'!AH22</f>
        <v>-61298455</v>
      </c>
      <c r="E12" s="3">
        <f>-'B11-B14'!AI22</f>
        <v>-517823424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 ht="12.7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82085712.46100001</v>
      </c>
      <c r="J13" s="1" t="s">
        <v>128</v>
      </c>
      <c r="K13" s="14">
        <f>I13</f>
        <v>82085712.46100001</v>
      </c>
      <c r="L13" s="14">
        <f>K13*('B6'!G12/'B6'!F12)</f>
        <v>82085712.46100001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46182639</v>
      </c>
      <c r="T13" s="3"/>
      <c r="U13" s="3"/>
      <c r="V13" s="3"/>
      <c r="W13" s="3"/>
      <c r="X13" s="2" t="s">
        <v>881</v>
      </c>
      <c r="Y13" s="3"/>
      <c r="Z13" s="3"/>
      <c r="AA13" s="3"/>
    </row>
    <row r="14" spans="1:35" ht="12.75">
      <c r="A14" s="3" t="s">
        <v>498</v>
      </c>
      <c r="B14" s="32" t="s">
        <v>547</v>
      </c>
      <c r="C14" s="3">
        <f>SUM(C9,C11:C12)</f>
        <v>210295236</v>
      </c>
      <c r="D14" s="3">
        <f>SUM(D9,D11:D12)</f>
        <v>143769732</v>
      </c>
      <c r="E14" s="3">
        <f>SUM(E9,E11:E12)</f>
        <v>66525504</v>
      </c>
      <c r="F14" s="3"/>
      <c r="G14" s="2" t="s">
        <v>136</v>
      </c>
      <c r="H14" s="2" t="s">
        <v>272</v>
      </c>
      <c r="I14" s="14">
        <f>INPUT!C84</f>
        <v>5849345.6850000005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13463107</v>
      </c>
      <c r="T14" s="3"/>
      <c r="U14" s="3"/>
      <c r="V14" s="3"/>
      <c r="W14" s="3"/>
      <c r="X14" s="2" t="s">
        <v>882</v>
      </c>
      <c r="Y14" s="3"/>
      <c r="Z14" s="3"/>
      <c r="AA14" s="3"/>
    </row>
    <row r="15" spans="1:35" ht="12.7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21118798.528000001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-6580087.444000002</v>
      </c>
      <c r="T15" s="1" t="s">
        <v>432</v>
      </c>
      <c r="U15" s="3"/>
      <c r="V15" s="3"/>
      <c r="W15" s="3"/>
      <c r="X15" s="2" t="s">
        <v>883</v>
      </c>
      <c r="Y15" s="3"/>
      <c r="Z15" s="3"/>
      <c r="AA15" s="3"/>
    </row>
    <row r="16" spans="1:35" ht="12.75">
      <c r="A16" s="3" t="s">
        <v>499</v>
      </c>
      <c r="B16" s="32" t="s">
        <v>1049</v>
      </c>
      <c r="C16" s="3">
        <f>+U35</f>
        <v>47015293.512773044</v>
      </c>
      <c r="D16" s="3">
        <f>+V35</f>
        <v>32646972.815130848</v>
      </c>
      <c r="E16" s="3">
        <f>+W35</f>
        <v>14368320.697642207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5058941</v>
      </c>
      <c r="T16" s="3"/>
      <c r="U16" s="3"/>
      <c r="V16" s="3"/>
      <c r="W16" s="3"/>
      <c r="X16" s="2" t="s">
        <v>884</v>
      </c>
      <c r="Y16" s="3"/>
      <c r="Z16" s="3"/>
      <c r="AA16" s="3"/>
    </row>
    <row r="17" spans="1:27" ht="12.75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3496246</v>
      </c>
      <c r="T17" s="3"/>
      <c r="U17" s="3"/>
      <c r="V17" s="3"/>
      <c r="W17" s="3"/>
      <c r="X17" s="2" t="s">
        <v>885</v>
      </c>
      <c r="Y17" s="3"/>
      <c r="Z17" s="3"/>
      <c r="AA17" s="3"/>
    </row>
    <row r="18" spans="1:27" ht="12.75">
      <c r="A18" s="3" t="s">
        <v>500</v>
      </c>
      <c r="B18" s="32" t="s">
        <v>519</v>
      </c>
      <c r="C18" s="3">
        <f>+C14+C16</f>
        <v>257310529.51277304</v>
      </c>
      <c r="D18" s="3">
        <f>+D14+D16</f>
        <v>176416704.81513086</v>
      </c>
      <c r="E18" s="3">
        <f>+E14+E16</f>
        <v>80893824.697642207</v>
      </c>
      <c r="F18" s="3"/>
      <c r="G18" s="2" t="s">
        <v>165</v>
      </c>
      <c r="H18" s="4" t="s">
        <v>544</v>
      </c>
      <c r="I18" s="14">
        <f>SUM(I13:I16)</f>
        <v>109053856.67400001</v>
      </c>
      <c r="J18" s="3"/>
      <c r="K18" s="14">
        <f>SUM(K13:K16)</f>
        <v>82085712.46100001</v>
      </c>
      <c r="L18" s="14">
        <f>SUM(L13:L16)</f>
        <v>82085712.46100001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886</v>
      </c>
      <c r="Y18" s="3"/>
      <c r="Z18" s="3"/>
      <c r="AA18" s="3"/>
    </row>
    <row r="19" spans="1:27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145001</v>
      </c>
      <c r="T19" s="3"/>
      <c r="U19" s="3"/>
      <c r="V19" s="3"/>
      <c r="W19" s="3"/>
      <c r="X19" s="2" t="s">
        <v>887</v>
      </c>
      <c r="Y19" s="3"/>
      <c r="Z19" s="3"/>
      <c r="AA19" s="3"/>
    </row>
    <row r="20" spans="1:27" ht="12.75">
      <c r="A20" s="3" t="s">
        <v>501</v>
      </c>
      <c r="B20" s="32" t="s">
        <v>543</v>
      </c>
      <c r="C20" s="3">
        <f>+C18/8</f>
        <v>32163816.18909663</v>
      </c>
      <c r="D20" s="3">
        <f>+D18/8</f>
        <v>22052088.101891357</v>
      </c>
      <c r="E20" s="3">
        <f>+E18/8</f>
        <v>10111728.087205276</v>
      </c>
      <c r="F20" s="3"/>
      <c r="G20" s="3" t="s">
        <v>766</v>
      </c>
      <c r="H20" s="19" t="s">
        <v>392</v>
      </c>
      <c r="I20" s="3">
        <f>+INPUT!C86</f>
        <v>22794206.5</v>
      </c>
      <c r="J20" s="3"/>
      <c r="K20" s="14">
        <f>I20</f>
        <v>22794206.5</v>
      </c>
      <c r="L20" s="14">
        <v>0</v>
      </c>
      <c r="M20" s="14">
        <f>K20</f>
        <v>22794206.5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61765846.555999994</v>
      </c>
      <c r="T21" s="1" t="s">
        <v>376</v>
      </c>
      <c r="U21" s="14">
        <f>ROUND(+S21*'B7'!$F$53,10)</f>
        <v>31317990.338574</v>
      </c>
      <c r="V21" s="14">
        <f>ROUND(+$U$21*('B7'!$E32/'B7'!$D$32),10)</f>
        <v>21347211.494666599</v>
      </c>
      <c r="W21" s="14">
        <f>ROUND(+$U$21*('B7'!$F32/'B7'!$D$32),10)</f>
        <v>9970778.8439074103</v>
      </c>
      <c r="X21" s="3"/>
      <c r="Y21" s="3"/>
      <c r="Z21" s="3"/>
      <c r="AA21" s="3"/>
    </row>
    <row r="22" spans="1:27" ht="12.75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7759245</v>
      </c>
      <c r="T23" s="5" t="s">
        <v>812</v>
      </c>
      <c r="U23" s="14">
        <f>ROUND(+S23*'B7'!$F$53,10)</f>
        <v>3934277.16924934</v>
      </c>
      <c r="V23" s="14">
        <f>ROUND(+$U$23*('B7'!$E32/'B7'!$D32),10)</f>
        <v>2681712.5205878699</v>
      </c>
      <c r="W23" s="14">
        <f>ROUND(+$U$23*('B7'!$F32/'B7'!$D32),10)</f>
        <v>1252564.64866147</v>
      </c>
      <c r="X23" s="2" t="s">
        <v>893</v>
      </c>
      <c r="Y23" s="3"/>
      <c r="Z23" s="3"/>
      <c r="AA23" s="3"/>
    </row>
    <row r="24" spans="1:27" ht="12.75">
      <c r="A24" s="3"/>
      <c r="B24" s="3"/>
      <c r="C24" s="3"/>
      <c r="D24" s="3"/>
      <c r="E24" s="3"/>
      <c r="F24" s="3"/>
      <c r="G24" s="4" t="s">
        <v>1096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12.75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5484021</v>
      </c>
      <c r="T25" s="5" t="s">
        <v>383</v>
      </c>
      <c r="U25" s="14">
        <f>ROUND(+$S$25*'B7'!D42,10)</f>
        <v>2780638.9134764499</v>
      </c>
      <c r="V25" s="14">
        <f>ROUND(+$S$25*'B7'!E42,10)</f>
        <v>1895360.6642902601</v>
      </c>
      <c r="W25" s="14">
        <f>ROUND(+$S$25*'B7'!F42,10)</f>
        <v>885278.24918619602</v>
      </c>
      <c r="X25" s="2" t="s">
        <v>888</v>
      </c>
      <c r="Y25" s="3"/>
      <c r="Z25" s="3"/>
      <c r="AA25" s="3"/>
    </row>
    <row r="26" spans="1:27" ht="12.75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4446810</v>
      </c>
      <c r="T27" s="5" t="s">
        <v>211</v>
      </c>
      <c r="U27" s="14">
        <f>$S$27*'B6'!F20</f>
        <v>1909340.299098135</v>
      </c>
      <c r="V27" s="14">
        <f>$S$27*'B6'!G20</f>
        <v>1880512.5183407729</v>
      </c>
      <c r="W27" s="14">
        <f>$S$27*'B6'!H20</f>
        <v>28827.780757361998</v>
      </c>
      <c r="X27" s="2" t="s">
        <v>889</v>
      </c>
      <c r="Y27" s="3"/>
      <c r="Z27" s="3"/>
      <c r="AA27" s="3"/>
    </row>
    <row r="28" spans="1:27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10695109</v>
      </c>
      <c r="T29" s="5" t="s">
        <v>385</v>
      </c>
      <c r="U29" s="14">
        <f>INPUT!C105</f>
        <v>65931</v>
      </c>
      <c r="V29" s="14">
        <f>U29</f>
        <v>65931</v>
      </c>
      <c r="W29" s="14">
        <v>0</v>
      </c>
      <c r="X29" s="2" t="s">
        <v>890</v>
      </c>
      <c r="Y29" s="3"/>
      <c r="Z29" s="3"/>
      <c r="AA29" s="3"/>
    </row>
    <row r="30" spans="1:27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1950065</v>
      </c>
      <c r="T31" s="1" t="s">
        <v>383</v>
      </c>
      <c r="U31" s="14">
        <f>ROUND(+$S$31*'B7'!D42,10)</f>
        <v>988768.39144278702</v>
      </c>
      <c r="V31" s="14">
        <f>ROUND(+$S$31*'B7'!E42,10)</f>
        <v>673971.98037884699</v>
      </c>
      <c r="W31" s="14">
        <f>ROUND(+$S$31*'B7'!F42,10)</f>
        <v>314796.41106393997</v>
      </c>
      <c r="X31" s="2" t="s">
        <v>891</v>
      </c>
      <c r="Y31" s="3"/>
      <c r="Z31" s="3"/>
      <c r="AA31" s="3"/>
    </row>
    <row r="32" spans="1:27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11869482</v>
      </c>
      <c r="T33" s="5" t="s">
        <v>383</v>
      </c>
      <c r="U33" s="14">
        <f>ROUND(+$S$33*'B7'!$D$42,10)</f>
        <v>6018347.4009323297</v>
      </c>
      <c r="V33" s="14">
        <f>ROUND(+$S$33*'B7'!$E$42,10)</f>
        <v>4102272.6368665001</v>
      </c>
      <c r="W33" s="14">
        <f>ROUND(+$S$33*'B7'!$F$42,10)</f>
        <v>1916074.76406583</v>
      </c>
      <c r="X33" s="2" t="s">
        <v>892</v>
      </c>
      <c r="Y33" s="3"/>
      <c r="Z33" s="3"/>
      <c r="AA33" s="3"/>
    </row>
    <row r="34" spans="1:27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103970578.55599999</v>
      </c>
      <c r="T35" s="49"/>
      <c r="U35" s="14">
        <f>SUM(U21:U34)</f>
        <v>47015293.512773044</v>
      </c>
      <c r="V35" s="14">
        <f>SUM(V21:V34)</f>
        <v>32646972.815130848</v>
      </c>
      <c r="W35" s="14">
        <f>SUM(W21:W34)</f>
        <v>14368320.697642207</v>
      </c>
      <c r="X35" s="3"/>
      <c r="Y35" s="3"/>
      <c r="Z35" s="3"/>
      <c r="AA35" s="3"/>
    </row>
    <row r="36" spans="1:27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1097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947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K75"/>
  <sheetViews>
    <sheetView topLeftCell="Z1" zoomScaleNormal="100" workbookViewId="0">
      <selection activeCell="AG18" sqref="AG18"/>
    </sheetView>
  </sheetViews>
  <sheetFormatPr defaultColWidth="9" defaultRowHeight="12"/>
  <cols>
    <col min="1" max="1" width="7.375" style="37" customWidth="1"/>
    <col min="2" max="2" width="15" style="37" customWidth="1"/>
    <col min="3" max="3" width="11.125" style="37" customWidth="1"/>
    <col min="4" max="4" width="12.875" style="37" customWidth="1"/>
    <col min="5" max="5" width="9.375" style="37" customWidth="1"/>
    <col min="6" max="6" width="8.625" style="37" customWidth="1"/>
    <col min="7" max="7" width="9.625" style="37" bestFit="1" customWidth="1"/>
    <col min="8" max="8" width="14" style="37" customWidth="1"/>
    <col min="9" max="9" width="9" style="37"/>
    <col min="10" max="10" width="6.625" style="37" customWidth="1"/>
    <col min="11" max="11" width="56.625" style="37" customWidth="1"/>
    <col min="12" max="12" width="16.25" style="37" customWidth="1"/>
    <col min="13" max="15" width="12.625" style="37" customWidth="1"/>
    <col min="16" max="16" width="7.875" style="37" customWidth="1"/>
    <col min="17" max="17" width="26.625" style="37" customWidth="1"/>
    <col min="18" max="18" width="12.375" style="37" customWidth="1"/>
    <col min="19" max="19" width="14.125" style="37" bestFit="1" customWidth="1"/>
    <col min="20" max="20" width="12.875" style="37" bestFit="1" customWidth="1"/>
    <col min="21" max="21" width="12" style="37" bestFit="1" customWidth="1"/>
    <col min="22" max="22" width="13" style="37" customWidth="1"/>
    <col min="23" max="23" width="9.625" style="37" customWidth="1"/>
    <col min="24" max="24" width="9" style="37"/>
    <col min="25" max="25" width="6.875" style="37" customWidth="1"/>
    <col min="26" max="26" width="48.625" style="37" customWidth="1"/>
    <col min="27" max="27" width="16.375" style="37" customWidth="1"/>
    <col min="28" max="28" width="18.625" style="37" customWidth="1"/>
    <col min="29" max="29" width="11.375" style="37" customWidth="1"/>
    <col min="30" max="30" width="9" style="37"/>
    <col min="31" max="31" width="33.125" style="37" customWidth="1"/>
    <col min="32" max="32" width="11.625" style="37" customWidth="1"/>
    <col min="33" max="35" width="13.625" style="37" customWidth="1"/>
    <col min="36" max="36" width="28.375" style="37" customWidth="1"/>
    <col min="37" max="37" width="10.375" style="37" customWidth="1"/>
    <col min="38" max="38" width="9.75" style="37" customWidth="1"/>
    <col min="39" max="39" width="12.375" style="37" customWidth="1"/>
    <col min="40" max="40" width="9" style="37"/>
    <col min="41" max="41" width="12.125" style="37" customWidth="1"/>
    <col min="42" max="42" width="9" style="37"/>
    <col min="43" max="43" width="5.75" style="37" customWidth="1"/>
    <col min="44" max="44" width="36.625" style="37" customWidth="1"/>
    <col min="45" max="45" width="13.625" style="37" customWidth="1"/>
    <col min="46" max="46" width="12.25" style="37" customWidth="1"/>
    <col min="47" max="47" width="13.75" style="37" customWidth="1"/>
    <col min="48" max="16384" width="9" style="37"/>
  </cols>
  <sheetData>
    <row r="1" spans="1:37" ht="12.75">
      <c r="A1" s="2" t="s">
        <v>38</v>
      </c>
      <c r="B1"/>
      <c r="C1" s="3"/>
      <c r="G1" s="3"/>
      <c r="H1" s="41" t="s">
        <v>972</v>
      </c>
      <c r="J1" s="2" t="s">
        <v>723</v>
      </c>
      <c r="K1" s="3"/>
      <c r="L1" s="41" t="s">
        <v>272</v>
      </c>
      <c r="N1" s="18" t="s">
        <v>972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972</v>
      </c>
      <c r="Y1" s="4" t="s">
        <v>710</v>
      </c>
      <c r="Z1" s="3"/>
      <c r="AA1" s="3"/>
      <c r="AB1" s="3"/>
      <c r="AC1" s="18" t="s">
        <v>972</v>
      </c>
      <c r="AE1" s="2" t="s">
        <v>41</v>
      </c>
      <c r="AF1" s="3"/>
      <c r="AG1" s="3"/>
      <c r="AH1" s="3"/>
      <c r="AK1" s="18" t="s">
        <v>972</v>
      </c>
    </row>
    <row r="2" spans="1:37" ht="12.75">
      <c r="A2" s="30" t="str">
        <f>INPUT!$B$2</f>
        <v>12 Months Ending 12/31/2021 (actuals) for 2022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12/31/2021 (actuals) for 2022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12/31/2021 (actuals) for 2022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 ht="12.75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12/31/2021 (actuals) for 2022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 ht="12.75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12/31/2021 (actuals) for 2022</v>
      </c>
      <c r="AF4" s="3"/>
      <c r="AG4" s="3"/>
      <c r="AH4" s="3"/>
      <c r="AI4" s="3"/>
    </row>
    <row r="5" spans="1:37" ht="12.75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1066</v>
      </c>
      <c r="AC5" s="1" t="s">
        <v>1067</v>
      </c>
      <c r="AF5" s="3"/>
      <c r="AG5" s="3"/>
      <c r="AH5" s="3"/>
      <c r="AI5" s="3"/>
    </row>
    <row r="6" spans="1:37" ht="12.75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 ht="12.75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42" t="s">
        <v>724</v>
      </c>
      <c r="W8" s="342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880</v>
      </c>
    </row>
    <row r="9" spans="1:37" ht="13.5" thickBot="1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324" t="str">
        <f>INPUT!$B$2</f>
        <v>12 Months Ending 12/31/2021 (actuals) for 2022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853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 ht="12.75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200079231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2.75">
      <c r="A11" s="4" t="s">
        <v>274</v>
      </c>
      <c r="B11" s="2" t="s">
        <v>114</v>
      </c>
      <c r="C11" s="1" t="s">
        <v>376</v>
      </c>
      <c r="D11" s="14">
        <f>M19</f>
        <v>4982989952</v>
      </c>
      <c r="E11" s="45">
        <f>ROUND(+D11/$D$17,10)</f>
        <v>0.51851537820000004</v>
      </c>
      <c r="F11" s="108" t="s">
        <v>392</v>
      </c>
      <c r="G11" s="45">
        <f>N37</f>
        <v>4.6090908750040356E-2</v>
      </c>
      <c r="H11" s="45">
        <f>ROUND(+G11*E11,10)</f>
        <v>2.3898844999999998E-2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5" t="s">
        <v>1139</v>
      </c>
      <c r="R11" s="275">
        <v>0</v>
      </c>
      <c r="S11" s="275"/>
      <c r="T11" s="277">
        <v>0</v>
      </c>
      <c r="U11" s="276">
        <v>0</v>
      </c>
      <c r="V11" s="327">
        <v>38353</v>
      </c>
      <c r="W11" s="327">
        <v>41821</v>
      </c>
      <c r="Y11" s="111">
        <v>3</v>
      </c>
      <c r="Z11" s="4" t="s">
        <v>948</v>
      </c>
      <c r="AA11" s="1" t="s">
        <v>949</v>
      </c>
      <c r="AB11" s="4" t="s">
        <v>950</v>
      </c>
      <c r="AC11" s="3">
        <v>0</v>
      </c>
      <c r="AE11" s="4" t="s">
        <v>115</v>
      </c>
      <c r="AF11" s="1" t="s">
        <v>116</v>
      </c>
      <c r="AG11" s="14">
        <f>INPUT!C134</f>
        <v>27318338.489999998</v>
      </c>
      <c r="AH11" s="3"/>
      <c r="AI11" s="14">
        <f>AG11</f>
        <v>27318338.489999998</v>
      </c>
      <c r="AJ11" s="2" t="s">
        <v>895</v>
      </c>
    </row>
    <row r="12" spans="1:37" ht="12.75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5" t="s">
        <v>1140</v>
      </c>
      <c r="R12" s="278">
        <v>0</v>
      </c>
      <c r="S12" s="278"/>
      <c r="T12" s="277">
        <v>0</v>
      </c>
      <c r="U12" s="276">
        <v>0</v>
      </c>
      <c r="V12" s="327">
        <v>38504</v>
      </c>
      <c r="W12" s="327">
        <v>42125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895</v>
      </c>
    </row>
    <row r="13" spans="1:37" ht="12.75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4782910721</v>
      </c>
      <c r="P13" s="110">
        <v>3</v>
      </c>
      <c r="Q13" s="275" t="s">
        <v>1141</v>
      </c>
      <c r="R13" s="279">
        <v>0</v>
      </c>
      <c r="S13" s="279"/>
      <c r="T13" s="277">
        <v>0</v>
      </c>
      <c r="U13" s="276">
        <v>0</v>
      </c>
      <c r="V13" s="327">
        <v>38596</v>
      </c>
      <c r="W13" s="327">
        <v>42248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-1317836</v>
      </c>
      <c r="AH13" s="3"/>
      <c r="AI13" s="14">
        <f>AG13</f>
        <v>-1317836</v>
      </c>
      <c r="AJ13" s="2" t="s">
        <v>895</v>
      </c>
    </row>
    <row r="14" spans="1:37" ht="12.75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5" t="s">
        <v>755</v>
      </c>
      <c r="R14" s="279">
        <v>37071.321111110039</v>
      </c>
      <c r="S14" s="279"/>
      <c r="T14" s="277">
        <v>37071.321111110039</v>
      </c>
      <c r="U14" s="276">
        <v>420141.79</v>
      </c>
      <c r="V14" s="327">
        <v>37742</v>
      </c>
      <c r="W14" s="327">
        <v>48700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2.75">
      <c r="A15" s="4" t="s">
        <v>276</v>
      </c>
      <c r="B15" s="2" t="s">
        <v>147</v>
      </c>
      <c r="C15" s="1" t="s">
        <v>385</v>
      </c>
      <c r="D15" s="14">
        <f>INPUT!C109</f>
        <v>4627120300.3219995</v>
      </c>
      <c r="E15" s="45">
        <f>ROUND(+D15/$D$17,10)</f>
        <v>0.48148462180000001</v>
      </c>
      <c r="F15" s="5" t="s">
        <v>432</v>
      </c>
      <c r="G15" s="219">
        <v>0.104</v>
      </c>
      <c r="H15" s="45">
        <f>ROUND(+G15*E15,10)</f>
        <v>5.00744007E-2</v>
      </c>
      <c r="J15" s="111"/>
      <c r="K15" s="2"/>
      <c r="L15" s="2"/>
      <c r="M15" s="56"/>
      <c r="P15" s="110">
        <v>5</v>
      </c>
      <c r="Q15" s="275" t="s">
        <v>818</v>
      </c>
      <c r="R15" s="279">
        <v>-194198.39999999991</v>
      </c>
      <c r="S15" s="279"/>
      <c r="T15" s="277">
        <v>-194198.39999999991</v>
      </c>
      <c r="U15" s="276">
        <v>-2767328.42</v>
      </c>
      <c r="V15" s="327">
        <v>38808</v>
      </c>
      <c r="W15" s="327">
        <v>49766</v>
      </c>
      <c r="Y15" s="110">
        <v>5</v>
      </c>
      <c r="Z15" s="2" t="s">
        <v>148</v>
      </c>
      <c r="AA15" s="3"/>
      <c r="AB15" s="4" t="s">
        <v>951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2.75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5" t="s">
        <v>819</v>
      </c>
      <c r="R16" s="279">
        <v>159670.56000000006</v>
      </c>
      <c r="S16" s="279"/>
      <c r="T16" s="277">
        <v>159670.56000000006</v>
      </c>
      <c r="U16" s="276">
        <v>2587992.86</v>
      </c>
      <c r="V16" s="327">
        <v>39508</v>
      </c>
      <c r="W16" s="327">
        <v>50496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2.75">
      <c r="A17" s="4" t="s">
        <v>278</v>
      </c>
      <c r="B17" s="2" t="s">
        <v>77</v>
      </c>
      <c r="C17" s="19" t="s">
        <v>878</v>
      </c>
      <c r="D17" s="14">
        <f>SUM(D11:D15)</f>
        <v>9610110252.3219986</v>
      </c>
      <c r="E17" s="45">
        <f>SUM(E11:E15)</f>
        <v>1</v>
      </c>
      <c r="F17" s="45"/>
      <c r="G17" s="45"/>
      <c r="H17" s="45">
        <f>SUM(H11:H15)</f>
        <v>7.3973245699999995E-2</v>
      </c>
      <c r="J17" s="111"/>
      <c r="K17" s="2"/>
      <c r="L17" s="2"/>
      <c r="M17" s="56"/>
      <c r="P17" s="110">
        <v>7</v>
      </c>
      <c r="Q17" s="275" t="s">
        <v>820</v>
      </c>
      <c r="R17" s="279">
        <v>0</v>
      </c>
      <c r="S17" s="279"/>
      <c r="T17" s="277">
        <v>0</v>
      </c>
      <c r="U17" s="276">
        <v>0</v>
      </c>
      <c r="V17" s="327">
        <v>40322</v>
      </c>
      <c r="W17" s="327">
        <v>42125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6760693</v>
      </c>
      <c r="AH17" s="14">
        <f>AG17</f>
        <v>6760693</v>
      </c>
      <c r="AI17" s="3"/>
      <c r="AJ17" s="2" t="s">
        <v>896</v>
      </c>
    </row>
    <row r="18" spans="1:36" ht="12.75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5" t="s">
        <v>821</v>
      </c>
      <c r="R18" s="279">
        <v>-251429.99</v>
      </c>
      <c r="S18" s="279"/>
      <c r="T18" s="277">
        <v>-251429.99</v>
      </c>
      <c r="U18" s="276">
        <v>0</v>
      </c>
      <c r="V18" s="327">
        <v>40603</v>
      </c>
      <c r="W18" s="327">
        <v>44256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17287597</v>
      </c>
      <c r="AH18" s="14">
        <f>AG18</f>
        <v>17287597</v>
      </c>
      <c r="AI18" s="3"/>
      <c r="AJ18" s="2" t="s">
        <v>897</v>
      </c>
    </row>
    <row r="19" spans="1:36" ht="12.75">
      <c r="A19" s="2" t="s">
        <v>398</v>
      </c>
      <c r="B19" s="32" t="s">
        <v>1053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4982989952</v>
      </c>
      <c r="P19" s="110">
        <v>9</v>
      </c>
      <c r="Q19" s="192" t="s">
        <v>1168</v>
      </c>
      <c r="R19" s="193">
        <v>-10593741</v>
      </c>
      <c r="S19" s="193">
        <v>-9739407</v>
      </c>
      <c r="T19" s="194">
        <v>-854334</v>
      </c>
      <c r="U19" s="193">
        <v>-9739407</v>
      </c>
      <c r="V19" s="195">
        <v>44286</v>
      </c>
      <c r="W19" s="195">
        <v>47938</v>
      </c>
      <c r="AE19" s="4" t="s">
        <v>168</v>
      </c>
      <c r="AF19" s="1" t="s">
        <v>376</v>
      </c>
      <c r="AG19" s="14">
        <f>INPUT!C140</f>
        <v>186246946</v>
      </c>
      <c r="AH19" s="14">
        <f>INPUT!C141</f>
        <v>119721442</v>
      </c>
      <c r="AI19" s="14">
        <f>INPUT!C142</f>
        <v>66525504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 ht="12.75">
      <c r="A21" s="2" t="s">
        <v>400</v>
      </c>
      <c r="B21" s="32" t="s">
        <v>1052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-10842627.508888889</v>
      </c>
      <c r="S21" s="183">
        <f>SUM(S11:S20)</f>
        <v>-9739407</v>
      </c>
      <c r="T21" s="183">
        <f>SUM(T11:T20)</f>
        <v>-1103220.5088888898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 ht="12.75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579121879</v>
      </c>
      <c r="AH22" s="14">
        <f>INPUT!C144</f>
        <v>61298455</v>
      </c>
      <c r="AI22" s="14">
        <f>INPUT!C145</f>
        <v>517823424</v>
      </c>
      <c r="AJ22" s="2" t="s">
        <v>898</v>
      </c>
    </row>
    <row r="23" spans="1:36" ht="13.5" thickBot="1">
      <c r="A23" s="2" t="s">
        <v>402</v>
      </c>
      <c r="B23" s="4" t="s">
        <v>1050</v>
      </c>
      <c r="C23" s="3"/>
      <c r="D23" s="3"/>
      <c r="E23" s="3"/>
      <c r="F23" s="3"/>
      <c r="G23" s="3"/>
      <c r="H23" s="3"/>
      <c r="J23" s="111"/>
      <c r="K23" s="325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75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211947638.10999998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854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 ht="12.75">
      <c r="A25" s="4" t="s">
        <v>404</v>
      </c>
      <c r="B25" s="32" t="s">
        <v>1063</v>
      </c>
      <c r="J25" s="111">
        <v>7</v>
      </c>
      <c r="K25" s="2" t="s">
        <v>632</v>
      </c>
      <c r="L25" s="2" t="s">
        <v>633</v>
      </c>
      <c r="M25" s="1"/>
      <c r="N25" s="14">
        <f>+INPUT!C118</f>
        <v>4116805.41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815417617.49000001</v>
      </c>
      <c r="AH25" s="14">
        <f>SUM(AH11:AH22)</f>
        <v>205068187</v>
      </c>
      <c r="AI25" s="14">
        <f>SUM(AI11:AI22)</f>
        <v>610349430.49000001</v>
      </c>
    </row>
    <row r="26" spans="1:36" ht="12.75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3866684.66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-1103220.5088888898</v>
      </c>
      <c r="AE26" s="3"/>
      <c r="AF26" s="3"/>
      <c r="AG26" s="3"/>
      <c r="AH26" s="3"/>
      <c r="AI26" s="3"/>
    </row>
    <row r="27" spans="1:36" ht="12.75">
      <c r="A27" s="4" t="s">
        <v>251</v>
      </c>
      <c r="B27" s="32" t="s">
        <v>1051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1068</v>
      </c>
      <c r="AF27" s="19" t="s">
        <v>272</v>
      </c>
      <c r="AG27" s="14">
        <f>'B8-B10'!U35</f>
        <v>47015293.512773044</v>
      </c>
      <c r="AH27" s="14">
        <f>'B8-B10'!V35</f>
        <v>32646972.815130848</v>
      </c>
      <c r="AI27" s="14">
        <f>'B8-B10'!W35</f>
        <v>14368320.697642207</v>
      </c>
    </row>
    <row r="28" spans="1:36" ht="12.75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9610110252.3219986</v>
      </c>
      <c r="W28" s="14"/>
      <c r="AE28" s="3"/>
      <c r="AF28" s="3"/>
      <c r="AG28" s="3"/>
      <c r="AH28" s="3"/>
      <c r="AI28" s="3"/>
    </row>
    <row r="29" spans="1:36" ht="13.5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76049.189587330693</v>
      </c>
      <c r="AH29" s="14">
        <f>AG29</f>
        <v>76049.189587330693</v>
      </c>
      <c r="AI29" s="37">
        <f>0</f>
        <v>0</v>
      </c>
    </row>
    <row r="30" spans="1:36" ht="13.5" thickBot="1">
      <c r="J30" s="111">
        <v>12</v>
      </c>
      <c r="K30" s="2" t="s">
        <v>740</v>
      </c>
      <c r="L30" s="2"/>
      <c r="M30" s="2"/>
      <c r="N30" s="18">
        <f>SUM(N24:N29)</f>
        <v>219931128.17999998</v>
      </c>
      <c r="O30" s="18"/>
      <c r="P30" s="110">
        <v>14</v>
      </c>
      <c r="Q30" s="2" t="s">
        <v>646</v>
      </c>
      <c r="R30" s="179"/>
      <c r="S30" s="2"/>
      <c r="T30" s="2" t="s">
        <v>856</v>
      </c>
      <c r="U30" s="14"/>
      <c r="V30" s="14"/>
      <c r="W30" s="202">
        <f>IF(W26&lt;0,-V28*W29,V28*W29)</f>
        <v>-4805055.1261609998</v>
      </c>
    </row>
    <row r="31" spans="1:36" ht="12.75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862508960.1923604</v>
      </c>
      <c r="AH31" s="14">
        <f>AH25+AH27+AH29</f>
        <v>237791209.00471818</v>
      </c>
      <c r="AI31" s="14">
        <f>AI25+AI27+AI29</f>
        <v>624717751.18764222</v>
      </c>
    </row>
    <row r="32" spans="1:36" ht="12.75">
      <c r="J32" s="111">
        <v>13</v>
      </c>
      <c r="K32" s="2" t="s">
        <v>741</v>
      </c>
      <c r="L32" s="2" t="s">
        <v>851</v>
      </c>
      <c r="M32" s="2"/>
      <c r="N32" s="18">
        <f>+R21</f>
        <v>-10842627.508888889</v>
      </c>
      <c r="O32" s="18"/>
      <c r="P32" s="110">
        <v>15</v>
      </c>
      <c r="Q32" s="2" t="s">
        <v>861</v>
      </c>
      <c r="R32" s="2"/>
      <c r="S32" s="2"/>
      <c r="T32" s="179"/>
      <c r="U32" s="18"/>
      <c r="V32" s="18"/>
      <c r="W32" s="18">
        <f>IF(ABS(W26)&lt;ABS(W30),W26,W30)</f>
        <v>-1103220.5088888898</v>
      </c>
      <c r="AE32" s="3"/>
      <c r="AF32" s="3"/>
      <c r="AG32" s="3"/>
      <c r="AH32" s="3"/>
      <c r="AI32" s="3"/>
    </row>
    <row r="33" spans="2:35" ht="12.75">
      <c r="J33" s="111">
        <v>14</v>
      </c>
      <c r="K33" s="2" t="s">
        <v>742</v>
      </c>
      <c r="L33" s="2" t="s">
        <v>852</v>
      </c>
      <c r="N33" s="3">
        <f>+W32</f>
        <v>-1103220.5088888898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972</v>
      </c>
      <c r="AC33" s="24"/>
      <c r="AE33" s="4" t="s">
        <v>779</v>
      </c>
      <c r="AF33" s="3"/>
      <c r="AG33" s="3"/>
      <c r="AH33" s="3"/>
      <c r="AI33" s="3"/>
    </row>
    <row r="34" spans="2:35" ht="12.7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 ht="12.7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229670535.17999998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12/31/2021 (actuals) for 2022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 ht="12.7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1066</v>
      </c>
      <c r="AB36" s="1" t="s">
        <v>1067</v>
      </c>
      <c r="AC36" s="3"/>
      <c r="AE36" s="4" t="s">
        <v>593</v>
      </c>
      <c r="AF36" s="3"/>
      <c r="AG36" s="3"/>
      <c r="AH36" s="3"/>
      <c r="AI36" s="3"/>
    </row>
    <row r="37" spans="2:35" ht="12.75">
      <c r="J37" s="111">
        <v>16</v>
      </c>
      <c r="K37" s="4" t="s">
        <v>879</v>
      </c>
      <c r="L37" s="2"/>
      <c r="M37" s="2"/>
      <c r="N37" s="91">
        <f>+N35/M19</f>
        <v>4.6090908750040356E-2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 ht="12.7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1055</v>
      </c>
      <c r="AB38" s="3">
        <f>+INPUT!C131</f>
        <v>4648036287.1119995</v>
      </c>
      <c r="AC38" s="3"/>
      <c r="AE38" s="4"/>
      <c r="AF38" s="3"/>
      <c r="AG38" s="3"/>
      <c r="AH38" s="3"/>
      <c r="AI38" s="3"/>
    </row>
    <row r="39" spans="2:35" ht="12.7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 ht="12.7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2.75">
      <c r="J41" s="216" t="s">
        <v>965</v>
      </c>
      <c r="K41" s="203"/>
      <c r="L41" s="212"/>
      <c r="O41" s="18"/>
      <c r="P41" s="18"/>
      <c r="Q41" s="2" t="s">
        <v>857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894</v>
      </c>
    </row>
    <row r="42" spans="2:35" ht="12.75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921</v>
      </c>
      <c r="AF42" s="203"/>
      <c r="AG42" s="212"/>
    </row>
    <row r="43" spans="2:35" ht="12.75">
      <c r="J43" s="211" t="s">
        <v>913</v>
      </c>
      <c r="K43" s="211" t="s">
        <v>630</v>
      </c>
      <c r="L43" s="212">
        <f>+N24</f>
        <v>211947638.10999998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916</v>
      </c>
      <c r="AF43" s="212"/>
      <c r="AG43" s="204">
        <v>579121879</v>
      </c>
    </row>
    <row r="44" spans="2:35" ht="12.75">
      <c r="J44" s="211" t="s">
        <v>914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917</v>
      </c>
      <c r="AF44" s="212"/>
      <c r="AG44" s="204">
        <v>0</v>
      </c>
    </row>
    <row r="45" spans="2:35" ht="12.75">
      <c r="J45" s="214"/>
      <c r="K45" s="215" t="s">
        <v>915</v>
      </c>
      <c r="L45" s="212">
        <f>+L43+L44</f>
        <v>211947638.10999998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918</v>
      </c>
      <c r="AF45" s="212"/>
      <c r="AG45" s="204">
        <v>0</v>
      </c>
    </row>
    <row r="46" spans="2:35" ht="12.7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919</v>
      </c>
      <c r="AF46" s="212"/>
      <c r="AG46" s="209">
        <v>0</v>
      </c>
    </row>
    <row r="47" spans="2:35" ht="12.7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1056</v>
      </c>
      <c r="AB47" s="3">
        <f>+INPUT!C128</f>
        <v>0</v>
      </c>
      <c r="AC47" s="14"/>
      <c r="AE47" s="203" t="s">
        <v>920</v>
      </c>
      <c r="AF47" s="212"/>
      <c r="AG47" s="204">
        <f>SUM(AG43:AG46)</f>
        <v>579121879</v>
      </c>
    </row>
    <row r="48" spans="2:35" ht="12.7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1057</v>
      </c>
      <c r="AB48" s="3">
        <f>INPUT!C129</f>
        <v>-3463212.63</v>
      </c>
      <c r="AC48" s="14"/>
      <c r="AE48" s="2" t="s">
        <v>1038</v>
      </c>
    </row>
    <row r="49" spans="11:31" ht="12.75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1058</v>
      </c>
      <c r="AB49" s="3">
        <f>INPUT!C130</f>
        <v>24379199.419999994</v>
      </c>
      <c r="AC49" s="14"/>
      <c r="AE49" s="2" t="s">
        <v>272</v>
      </c>
    </row>
    <row r="50" spans="11:31" ht="12.75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 ht="12.75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2.75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1042</v>
      </c>
      <c r="AB52" s="3">
        <f>+AB38-AB47-AB48-AB49</f>
        <v>4627120300.3219995</v>
      </c>
      <c r="AC52" s="3"/>
    </row>
    <row r="53" spans="11:31" ht="12.75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2.75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 ht="12.75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 ht="12.75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2.75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 ht="12.75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 ht="12.75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2.75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2.75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 ht="12.75">
      <c r="O62" s="91"/>
      <c r="P62" s="3"/>
      <c r="Q62" s="91"/>
      <c r="R62" s="91"/>
      <c r="S62" s="91"/>
      <c r="T62" s="91"/>
      <c r="U62" s="91"/>
      <c r="V62" s="91"/>
      <c r="W62" s="91"/>
    </row>
    <row r="63" spans="11:31" ht="12.75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2.75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41"/>
      <c r="Z66" s="341"/>
    </row>
    <row r="67" spans="15:26" ht="12.75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2.75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 ht="12.75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 ht="12.75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 ht="12.75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 ht="12.75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2.75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2.75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2.75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129122A8-66F9-45D4-8EE5-0B91B6B7CAC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keywords/>
  <cp:lastModifiedBy>s273689</cp:lastModifiedBy>
  <cp:lastPrinted>2020-05-21T20:53:17Z</cp:lastPrinted>
  <dcterms:created xsi:type="dcterms:W3CDTF">2003-11-18T20:36:05Z</dcterms:created>
  <dcterms:modified xsi:type="dcterms:W3CDTF">2022-05-31T16:26:29Z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d1fe1fd3-9cca-4e4a-b646-1a17052e1616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</Properties>
</file>